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uperenault-my.sharepoint.com/personal/irina_andrusenko_mobilize-fs_com/Documents/Рабочий стол/Infiniti/New folder/2023/27 October/"/>
    </mc:Choice>
  </mc:AlternateContent>
  <xr:revisionPtr revIDLastSave="13" documentId="13_ncr:1_{98C0B716-B6FE-4EB8-BA1F-2116FCB945E3}" xr6:coauthVersionLast="47" xr6:coauthVersionMax="47" xr10:uidLastSave="{83407040-639E-4129-89DC-1EDEC3F7036C}"/>
  <bookViews>
    <workbookView xWindow="-110" yWindow="-110" windowWidth="19420" windowHeight="10300" tabRatio="630" xr2:uid="{DF3E19F4-EAD5-4FB8-B75E-B66011D972A1}"/>
  </bookViews>
  <sheets>
    <sheet name="Вхідні дані" sheetId="1" r:id="rId1"/>
    <sheet name="Графік погашення стандартний" sheetId="3" r:id="rId2"/>
    <sheet name="Графік погашення ануїтет" sheetId="5" r:id="rId3"/>
    <sheet name="Витрати" sheetId="7" r:id="rId4"/>
    <sheet name="Tariff" sheetId="2" state="hidden" r:id="rId5"/>
  </sheets>
  <definedNames>
    <definedName name="_xlnm.Print_Area" localSheetId="3">Витрати!$A$1:$F$34</definedName>
    <definedName name="_xlnm.Print_Area" localSheetId="0">'Вхідні дані'!$A$1:$D$40</definedName>
    <definedName name="_xlnm.Print_Area" localSheetId="2">'Графік погашення ануїтет'!$A$1:$H$96</definedName>
    <definedName name="_xlnm.Print_Area" localSheetId="1">'Графік погашення стандартний'!$A$1:$G$96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E11" i="1"/>
  <c r="C27" i="7" l="1"/>
  <c r="C26" i="7"/>
  <c r="C25" i="7"/>
  <c r="C13" i="7" l="1"/>
  <c r="C11" i="7"/>
  <c r="E4" i="7"/>
  <c r="E3" i="7"/>
  <c r="E2" i="7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11" i="3"/>
  <c r="I10" i="3"/>
  <c r="C17" i="7" l="1"/>
  <c r="E17" i="7" s="1"/>
  <c r="E23" i="1"/>
  <c r="C25" i="1"/>
  <c r="E13" i="7" s="1"/>
  <c r="E5" i="7" l="1"/>
  <c r="E27" i="1" l="1"/>
  <c r="E7" i="7" s="1"/>
  <c r="C29" i="1"/>
  <c r="E11" i="7" s="1"/>
  <c r="E19" i="7" s="1"/>
  <c r="E20" i="7" s="1"/>
  <c r="E6" i="7"/>
  <c r="C19" i="1" l="1"/>
  <c r="E8" i="7" s="1"/>
  <c r="C94" i="3"/>
  <c r="C72" i="3"/>
  <c r="C88" i="5"/>
  <c r="C91" i="5"/>
  <c r="C86" i="5"/>
  <c r="C42" i="5"/>
  <c r="C32" i="3"/>
  <c r="C29" i="5"/>
  <c r="C70" i="5"/>
  <c r="C86" i="3"/>
  <c r="C89" i="5"/>
  <c r="C80" i="5"/>
  <c r="C83" i="5"/>
  <c r="C78" i="5"/>
  <c r="C41" i="3"/>
  <c r="C38" i="5"/>
  <c r="C14" i="5"/>
  <c r="C21" i="5"/>
  <c r="C35" i="3"/>
  <c r="C32" i="5"/>
  <c r="C26" i="3"/>
  <c r="C39" i="5"/>
  <c r="C47" i="3"/>
  <c r="C57" i="5"/>
  <c r="C70" i="3"/>
  <c r="C67" i="5"/>
  <c r="C89" i="3"/>
  <c r="C88" i="3"/>
  <c r="C85" i="5"/>
  <c r="C72" i="5"/>
  <c r="C75" i="5"/>
  <c r="C79" i="3"/>
  <c r="C37" i="3"/>
  <c r="C44" i="3"/>
  <c r="C24" i="3"/>
  <c r="C37" i="5"/>
  <c r="C24" i="5"/>
  <c r="C31" i="3"/>
  <c r="C18" i="3"/>
  <c r="C15" i="5"/>
  <c r="C52" i="3"/>
  <c r="C49" i="5"/>
  <c r="C55" i="5"/>
  <c r="C62" i="5"/>
  <c r="C85" i="3"/>
  <c r="C80" i="3"/>
  <c r="C73" i="5"/>
  <c r="C74" i="3"/>
  <c r="C75" i="3"/>
  <c r="C91" i="3"/>
  <c r="C94" i="5"/>
  <c r="C74" i="5"/>
  <c r="C45" i="3"/>
  <c r="C34" i="5"/>
  <c r="C18" i="5"/>
  <c r="C20" i="3"/>
  <c r="C25" i="5"/>
  <c r="C44" i="5"/>
  <c r="C28" i="5"/>
  <c r="C38" i="3"/>
  <c r="C22" i="3"/>
  <c r="C43" i="5"/>
  <c r="C65" i="3"/>
  <c r="C64" i="3"/>
  <c r="C52" i="5"/>
  <c r="C59" i="5"/>
  <c r="C54" i="5"/>
  <c r="C78" i="3"/>
  <c r="C73" i="3"/>
  <c r="C76" i="3"/>
  <c r="C81" i="5"/>
  <c r="C84" i="5"/>
  <c r="C82" i="3"/>
  <c r="C79" i="5"/>
  <c r="C83" i="3"/>
  <c r="C90" i="5"/>
  <c r="C60" i="3"/>
  <c r="C69" i="5"/>
  <c r="C53" i="5"/>
  <c r="C58" i="3"/>
  <c r="C63" i="5"/>
  <c r="C57" i="3"/>
  <c r="C93" i="3"/>
  <c r="C77" i="3"/>
  <c r="C84" i="3"/>
  <c r="C93" i="5"/>
  <c r="C77" i="5"/>
  <c r="C92" i="5"/>
  <c r="C76" i="5"/>
  <c r="C90" i="3"/>
  <c r="C87" i="5"/>
  <c r="C71" i="5"/>
  <c r="C87" i="3"/>
  <c r="C71" i="3"/>
  <c r="C82" i="5"/>
  <c r="C60" i="5" l="1"/>
  <c r="C55" i="3"/>
  <c r="C54" i="3"/>
  <c r="C64" i="5"/>
  <c r="C63" i="3"/>
  <c r="C33" i="5"/>
  <c r="C40" i="3"/>
  <c r="C81" i="3"/>
  <c r="C92" i="3"/>
  <c r="C43" i="3"/>
  <c r="C22" i="5"/>
  <c r="C16" i="3"/>
  <c r="D11" i="5"/>
  <c r="C13" i="5"/>
  <c r="C58" i="5"/>
  <c r="C56" i="5"/>
  <c r="C51" i="3"/>
  <c r="C62" i="3"/>
  <c r="C67" i="3"/>
  <c r="C12" i="5"/>
  <c r="C41" i="5"/>
  <c r="C13" i="3"/>
  <c r="C68" i="5"/>
  <c r="C35" i="5"/>
  <c r="C19" i="3"/>
  <c r="C17" i="3"/>
  <c r="C66" i="5"/>
  <c r="C56" i="3"/>
  <c r="C46" i="3"/>
  <c r="C28" i="3"/>
  <c r="C11" i="5"/>
  <c r="C27" i="3"/>
  <c r="C51" i="5"/>
  <c r="C50" i="5"/>
  <c r="C34" i="3"/>
  <c r="C23" i="5"/>
  <c r="C47" i="5"/>
  <c r="C59" i="3"/>
  <c r="C53" i="3"/>
  <c r="C69" i="3"/>
  <c r="C65" i="5"/>
  <c r="C27" i="5"/>
  <c r="C23" i="3"/>
  <c r="C11" i="3"/>
  <c r="F11" i="3" s="1"/>
  <c r="D12" i="3" s="1"/>
  <c r="C36" i="3"/>
  <c r="C29" i="3"/>
  <c r="C66" i="3"/>
  <c r="C61" i="3"/>
  <c r="C42" i="3"/>
  <c r="C17" i="5"/>
  <c r="C30" i="5"/>
  <c r="C48" i="5"/>
  <c r="C19" i="5"/>
  <c r="C39" i="3"/>
  <c r="C45" i="5"/>
  <c r="C21" i="3"/>
  <c r="C50" i="3"/>
  <c r="C15" i="3"/>
  <c r="C14" i="3"/>
  <c r="C46" i="5"/>
  <c r="C49" i="3"/>
  <c r="C16" i="5"/>
  <c r="C25" i="3"/>
  <c r="C61" i="5"/>
  <c r="C36" i="5"/>
  <c r="D11" i="3"/>
  <c r="C48" i="3"/>
  <c r="C40" i="5"/>
  <c r="C30" i="3"/>
  <c r="C68" i="3"/>
  <c r="C31" i="5"/>
  <c r="C33" i="3"/>
  <c r="C20" i="5"/>
  <c r="C12" i="3"/>
  <c r="C26" i="5"/>
  <c r="E11" i="5" l="1"/>
  <c r="F11" i="5"/>
  <c r="D12" i="5" s="1"/>
  <c r="E12" i="5" s="1"/>
  <c r="E11" i="3"/>
  <c r="F12" i="3"/>
  <c r="D13" i="3" s="1"/>
  <c r="E13" i="3" s="1"/>
  <c r="C95" i="3"/>
  <c r="C95" i="5"/>
  <c r="E12" i="3"/>
  <c r="C34" i="1" l="1"/>
  <c r="C33" i="1"/>
  <c r="F12" i="5"/>
  <c r="D13" i="5" s="1"/>
  <c r="E13" i="5" s="1"/>
  <c r="F13" i="3"/>
  <c r="F14" i="3" s="1"/>
  <c r="F13" i="5" l="1"/>
  <c r="F14" i="5" s="1"/>
  <c r="F15" i="5" s="1"/>
  <c r="D14" i="3"/>
  <c r="E14" i="3" s="1"/>
  <c r="F15" i="3"/>
  <c r="D15" i="3"/>
  <c r="E15" i="3" s="1"/>
  <c r="D15" i="5" l="1"/>
  <c r="E15" i="5" s="1"/>
  <c r="D14" i="5"/>
  <c r="E14" i="5" s="1"/>
  <c r="F16" i="3"/>
  <c r="D16" i="3"/>
  <c r="E16" i="3" s="1"/>
  <c r="F16" i="5"/>
  <c r="D16" i="5"/>
  <c r="E16" i="5" s="1"/>
  <c r="F17" i="3" l="1"/>
  <c r="D17" i="3"/>
  <c r="E17" i="3" s="1"/>
  <c r="F17" i="5"/>
  <c r="D17" i="5"/>
  <c r="E17" i="5" s="1"/>
  <c r="F18" i="3" l="1"/>
  <c r="D18" i="3"/>
  <c r="E18" i="3" s="1"/>
  <c r="F18" i="5"/>
  <c r="D18" i="5"/>
  <c r="E18" i="5" s="1"/>
  <c r="F19" i="3" l="1"/>
  <c r="D19" i="3"/>
  <c r="E19" i="3" s="1"/>
  <c r="F19" i="5"/>
  <c r="D19" i="5"/>
  <c r="E19" i="5" s="1"/>
  <c r="F20" i="3" l="1"/>
  <c r="D20" i="3"/>
  <c r="E20" i="3" s="1"/>
  <c r="F20" i="5"/>
  <c r="D20" i="5"/>
  <c r="E20" i="5" s="1"/>
  <c r="F21" i="3" l="1"/>
  <c r="D21" i="3"/>
  <c r="E21" i="3" s="1"/>
  <c r="F21" i="5"/>
  <c r="D21" i="5"/>
  <c r="E21" i="5" s="1"/>
  <c r="F22" i="3" l="1"/>
  <c r="D22" i="3"/>
  <c r="E22" i="3" s="1"/>
  <c r="F22" i="5"/>
  <c r="D22" i="5"/>
  <c r="E22" i="5" s="1"/>
  <c r="F23" i="3" l="1"/>
  <c r="D23" i="3"/>
  <c r="E23" i="3" s="1"/>
  <c r="F23" i="5"/>
  <c r="D23" i="5"/>
  <c r="E23" i="5" s="1"/>
  <c r="F24" i="3" l="1"/>
  <c r="D24" i="3"/>
  <c r="E24" i="3" s="1"/>
  <c r="F24" i="5"/>
  <c r="D24" i="5"/>
  <c r="E24" i="5" s="1"/>
  <c r="F25" i="3" l="1"/>
  <c r="D25" i="3"/>
  <c r="E25" i="3" s="1"/>
  <c r="F25" i="5"/>
  <c r="D25" i="5"/>
  <c r="E25" i="5" s="1"/>
  <c r="F26" i="3" l="1"/>
  <c r="D26" i="3"/>
  <c r="E26" i="3" s="1"/>
  <c r="F26" i="5"/>
  <c r="D26" i="5"/>
  <c r="E26" i="5" s="1"/>
  <c r="F27" i="3" l="1"/>
  <c r="D27" i="3"/>
  <c r="E27" i="3" s="1"/>
  <c r="F27" i="5"/>
  <c r="D27" i="5"/>
  <c r="E27" i="5" s="1"/>
  <c r="F28" i="3" l="1"/>
  <c r="D28" i="3"/>
  <c r="E28" i="3" s="1"/>
  <c r="F28" i="5"/>
  <c r="D28" i="5"/>
  <c r="E28" i="5" s="1"/>
  <c r="F29" i="3" l="1"/>
  <c r="D29" i="3"/>
  <c r="E29" i="3" s="1"/>
  <c r="F29" i="5"/>
  <c r="D29" i="5"/>
  <c r="E29" i="5" s="1"/>
  <c r="F30" i="3" l="1"/>
  <c r="D30" i="3"/>
  <c r="E30" i="3" s="1"/>
  <c r="F30" i="5"/>
  <c r="D30" i="5"/>
  <c r="E30" i="5" s="1"/>
  <c r="F31" i="3" l="1"/>
  <c r="D31" i="3"/>
  <c r="E31" i="3" s="1"/>
  <c r="F31" i="5"/>
  <c r="D31" i="5"/>
  <c r="E31" i="5" s="1"/>
  <c r="F32" i="3" l="1"/>
  <c r="D32" i="3"/>
  <c r="E32" i="3" s="1"/>
  <c r="F32" i="5"/>
  <c r="D32" i="5"/>
  <c r="E32" i="5" s="1"/>
  <c r="F33" i="3" l="1"/>
  <c r="D33" i="3"/>
  <c r="E33" i="3" s="1"/>
  <c r="F33" i="5"/>
  <c r="D33" i="5"/>
  <c r="E33" i="5" s="1"/>
  <c r="F34" i="3" l="1"/>
  <c r="D34" i="3"/>
  <c r="E34" i="3" s="1"/>
  <c r="F34" i="5"/>
  <c r="D34" i="5"/>
  <c r="E34" i="5" s="1"/>
  <c r="D35" i="3" l="1"/>
  <c r="E35" i="3" s="1"/>
  <c r="F35" i="3"/>
  <c r="F35" i="5"/>
  <c r="D35" i="5"/>
  <c r="E35" i="5" s="1"/>
  <c r="D36" i="3" l="1"/>
  <c r="E36" i="3" s="1"/>
  <c r="F36" i="3"/>
  <c r="F36" i="5"/>
  <c r="D36" i="5"/>
  <c r="E36" i="5" s="1"/>
  <c r="D37" i="3" l="1"/>
  <c r="E37" i="3" s="1"/>
  <c r="F37" i="3"/>
  <c r="F37" i="5"/>
  <c r="D37" i="5"/>
  <c r="E37" i="5" s="1"/>
  <c r="F38" i="3" l="1"/>
  <c r="D38" i="3"/>
  <c r="E38" i="3" s="1"/>
  <c r="F38" i="5"/>
  <c r="D38" i="5"/>
  <c r="E38" i="5" s="1"/>
  <c r="F39" i="5" l="1"/>
  <c r="D39" i="5"/>
  <c r="E39" i="5" s="1"/>
  <c r="D39" i="3"/>
  <c r="E39" i="3" s="1"/>
  <c r="F39" i="3"/>
  <c r="F40" i="5" l="1"/>
  <c r="D40" i="5"/>
  <c r="E40" i="5" s="1"/>
  <c r="D40" i="3"/>
  <c r="E40" i="3" s="1"/>
  <c r="F40" i="3"/>
  <c r="D41" i="3" l="1"/>
  <c r="E41" i="3" s="1"/>
  <c r="F41" i="3"/>
  <c r="F41" i="5"/>
  <c r="D41" i="5"/>
  <c r="E41" i="5" s="1"/>
  <c r="F42" i="3" l="1"/>
  <c r="D42" i="3"/>
  <c r="E42" i="3" s="1"/>
  <c r="F42" i="5"/>
  <c r="D42" i="5"/>
  <c r="E42" i="5" s="1"/>
  <c r="D43" i="3" l="1"/>
  <c r="E43" i="3" s="1"/>
  <c r="F43" i="3"/>
  <c r="F43" i="5"/>
  <c r="D43" i="5"/>
  <c r="E43" i="5" s="1"/>
  <c r="D44" i="3" l="1"/>
  <c r="E44" i="3" s="1"/>
  <c r="F44" i="3"/>
  <c r="F44" i="5"/>
  <c r="D44" i="5"/>
  <c r="E44" i="5" s="1"/>
  <c r="D45" i="3" l="1"/>
  <c r="E45" i="3" s="1"/>
  <c r="F45" i="3"/>
  <c r="F45" i="5"/>
  <c r="D45" i="5"/>
  <c r="E45" i="5" s="1"/>
  <c r="F46" i="3" l="1"/>
  <c r="D46" i="3"/>
  <c r="E46" i="3" s="1"/>
  <c r="F46" i="5"/>
  <c r="D46" i="5"/>
  <c r="E46" i="5" s="1"/>
  <c r="D47" i="3" l="1"/>
  <c r="E47" i="3" s="1"/>
  <c r="F47" i="3"/>
  <c r="F47" i="5"/>
  <c r="D47" i="5"/>
  <c r="E47" i="5" s="1"/>
  <c r="F48" i="5" l="1"/>
  <c r="D48" i="5"/>
  <c r="E48" i="5" s="1"/>
  <c r="D48" i="3"/>
  <c r="E48" i="3" s="1"/>
  <c r="F48" i="3"/>
  <c r="D49" i="3" l="1"/>
  <c r="E49" i="3" s="1"/>
  <c r="F49" i="3"/>
  <c r="F49" i="5"/>
  <c r="D49" i="5"/>
  <c r="E49" i="5" s="1"/>
  <c r="F50" i="3" l="1"/>
  <c r="D50" i="3"/>
  <c r="E50" i="3" s="1"/>
  <c r="F50" i="5"/>
  <c r="D50" i="5"/>
  <c r="E50" i="5" s="1"/>
  <c r="F51" i="5" l="1"/>
  <c r="D51" i="5"/>
  <c r="E51" i="5" s="1"/>
  <c r="D51" i="3"/>
  <c r="E51" i="3" s="1"/>
  <c r="F51" i="3"/>
  <c r="D52" i="3" l="1"/>
  <c r="E52" i="3" s="1"/>
  <c r="F52" i="3"/>
  <c r="F52" i="5"/>
  <c r="D52" i="5"/>
  <c r="E52" i="5" s="1"/>
  <c r="D53" i="3" l="1"/>
  <c r="E53" i="3" s="1"/>
  <c r="F53" i="3"/>
  <c r="F53" i="5"/>
  <c r="D53" i="5"/>
  <c r="E53" i="5" s="1"/>
  <c r="F54" i="3" l="1"/>
  <c r="D54" i="3"/>
  <c r="E54" i="3" s="1"/>
  <c r="F54" i="5"/>
  <c r="D54" i="5"/>
  <c r="E54" i="5" s="1"/>
  <c r="F55" i="5" l="1"/>
  <c r="D55" i="5"/>
  <c r="E55" i="5" s="1"/>
  <c r="D55" i="3"/>
  <c r="E55" i="3" s="1"/>
  <c r="F55" i="3"/>
  <c r="D56" i="3" l="1"/>
  <c r="E56" i="3" s="1"/>
  <c r="F56" i="3"/>
  <c r="F56" i="5"/>
  <c r="D56" i="5"/>
  <c r="E56" i="5" s="1"/>
  <c r="D57" i="3" l="1"/>
  <c r="E57" i="3" s="1"/>
  <c r="F57" i="3"/>
  <c r="F57" i="5"/>
  <c r="D57" i="5"/>
  <c r="E57" i="5" s="1"/>
  <c r="F58" i="5" l="1"/>
  <c r="D58" i="5"/>
  <c r="E58" i="5" s="1"/>
  <c r="F58" i="3"/>
  <c r="D58" i="3"/>
  <c r="E58" i="3" s="1"/>
  <c r="D59" i="3" l="1"/>
  <c r="E59" i="3" s="1"/>
  <c r="F59" i="3"/>
  <c r="F59" i="5"/>
  <c r="D59" i="5"/>
  <c r="E59" i="5" s="1"/>
  <c r="F60" i="5" l="1"/>
  <c r="D60" i="5"/>
  <c r="E60" i="5" s="1"/>
  <c r="D60" i="3"/>
  <c r="E60" i="3" s="1"/>
  <c r="F60" i="3"/>
  <c r="F61" i="5" l="1"/>
  <c r="D61" i="5"/>
  <c r="E61" i="5" s="1"/>
  <c r="D61" i="3"/>
  <c r="E61" i="3" s="1"/>
  <c r="F61" i="3"/>
  <c r="F62" i="3" l="1"/>
  <c r="D62" i="3"/>
  <c r="E62" i="3" s="1"/>
  <c r="F62" i="5"/>
  <c r="D62" i="5"/>
  <c r="E62" i="5" s="1"/>
  <c r="F63" i="5" l="1"/>
  <c r="D63" i="5"/>
  <c r="E63" i="5" s="1"/>
  <c r="D63" i="3"/>
  <c r="E63" i="3" s="1"/>
  <c r="F63" i="3"/>
  <c r="F64" i="5" l="1"/>
  <c r="D64" i="5"/>
  <c r="E64" i="5" s="1"/>
  <c r="D64" i="3"/>
  <c r="E64" i="3" s="1"/>
  <c r="F64" i="3"/>
  <c r="D65" i="3" l="1"/>
  <c r="E65" i="3" s="1"/>
  <c r="F65" i="3"/>
  <c r="F65" i="5"/>
  <c r="D65" i="5"/>
  <c r="E65" i="5" s="1"/>
  <c r="F66" i="3" l="1"/>
  <c r="D66" i="3"/>
  <c r="E66" i="3" s="1"/>
  <c r="F66" i="5"/>
  <c r="D66" i="5"/>
  <c r="E66" i="5" s="1"/>
  <c r="F67" i="5" l="1"/>
  <c r="D67" i="5"/>
  <c r="E67" i="5" s="1"/>
  <c r="D67" i="3"/>
  <c r="E67" i="3" s="1"/>
  <c r="F67" i="3"/>
  <c r="F68" i="5" l="1"/>
  <c r="D68" i="5"/>
  <c r="E68" i="5" s="1"/>
  <c r="D68" i="3"/>
  <c r="E68" i="3" s="1"/>
  <c r="F68" i="3"/>
  <c r="F69" i="5" l="1"/>
  <c r="D69" i="5"/>
  <c r="E69" i="5" s="1"/>
  <c r="D69" i="3"/>
  <c r="E69" i="3" s="1"/>
  <c r="F69" i="3"/>
  <c r="F70" i="3" l="1"/>
  <c r="D70" i="3"/>
  <c r="E70" i="3" s="1"/>
  <c r="F70" i="5"/>
  <c r="D70" i="5"/>
  <c r="E70" i="5" s="1"/>
  <c r="D71" i="3" l="1"/>
  <c r="E71" i="3" s="1"/>
  <c r="F71" i="3"/>
  <c r="F71" i="5"/>
  <c r="D71" i="5"/>
  <c r="E71" i="5" s="1"/>
  <c r="F72" i="5" l="1"/>
  <c r="D72" i="5"/>
  <c r="E72" i="5" s="1"/>
  <c r="D72" i="3"/>
  <c r="E72" i="3" s="1"/>
  <c r="F72" i="3"/>
  <c r="F73" i="5" l="1"/>
  <c r="D73" i="5"/>
  <c r="E73" i="5" s="1"/>
  <c r="D73" i="3"/>
  <c r="E73" i="3" s="1"/>
  <c r="F73" i="3"/>
  <c r="F74" i="3" l="1"/>
  <c r="D74" i="3"/>
  <c r="E74" i="3" s="1"/>
  <c r="F74" i="5"/>
  <c r="D74" i="5"/>
  <c r="E74" i="5" s="1"/>
  <c r="F75" i="5" l="1"/>
  <c r="D75" i="5"/>
  <c r="E75" i="5" s="1"/>
  <c r="D75" i="3"/>
  <c r="E75" i="3" s="1"/>
  <c r="F75" i="3"/>
  <c r="D76" i="3" l="1"/>
  <c r="E76" i="3" s="1"/>
  <c r="F76" i="3"/>
  <c r="F76" i="5"/>
  <c r="D76" i="5"/>
  <c r="E76" i="5" s="1"/>
  <c r="D77" i="3" l="1"/>
  <c r="E77" i="3" s="1"/>
  <c r="F77" i="3"/>
  <c r="F77" i="5"/>
  <c r="D77" i="5"/>
  <c r="E77" i="5" s="1"/>
  <c r="F78" i="5" l="1"/>
  <c r="D78" i="5"/>
  <c r="E78" i="5" s="1"/>
  <c r="F78" i="3"/>
  <c r="D78" i="3"/>
  <c r="E78" i="3" s="1"/>
  <c r="D79" i="3" l="1"/>
  <c r="E79" i="3" s="1"/>
  <c r="F79" i="3"/>
  <c r="F79" i="5"/>
  <c r="D79" i="5"/>
  <c r="E79" i="5" s="1"/>
  <c r="F80" i="5" l="1"/>
  <c r="D80" i="5"/>
  <c r="E80" i="5" s="1"/>
  <c r="D80" i="3"/>
  <c r="E80" i="3" s="1"/>
  <c r="F80" i="3"/>
  <c r="D81" i="3" l="1"/>
  <c r="E81" i="3" s="1"/>
  <c r="F81" i="3"/>
  <c r="F81" i="5"/>
  <c r="D81" i="5"/>
  <c r="E81" i="5" s="1"/>
  <c r="F82" i="5" l="1"/>
  <c r="D82" i="5"/>
  <c r="E82" i="5" s="1"/>
  <c r="F82" i="3"/>
  <c r="D82" i="3"/>
  <c r="E82" i="3" s="1"/>
  <c r="D83" i="3" l="1"/>
  <c r="E83" i="3" s="1"/>
  <c r="F83" i="3"/>
  <c r="F83" i="5"/>
  <c r="D83" i="5"/>
  <c r="E83" i="5" s="1"/>
  <c r="F84" i="5" l="1"/>
  <c r="D84" i="5"/>
  <c r="E84" i="5" s="1"/>
  <c r="D84" i="3"/>
  <c r="E84" i="3" s="1"/>
  <c r="F84" i="3"/>
  <c r="D85" i="3" l="1"/>
  <c r="E85" i="3" s="1"/>
  <c r="F85" i="3"/>
  <c r="F85" i="5"/>
  <c r="D85" i="5"/>
  <c r="E85" i="5" s="1"/>
  <c r="F86" i="5" l="1"/>
  <c r="D86" i="5"/>
  <c r="E86" i="5" s="1"/>
  <c r="F86" i="3"/>
  <c r="D86" i="3"/>
  <c r="E86" i="3" s="1"/>
  <c r="D87" i="3" l="1"/>
  <c r="E87" i="3" s="1"/>
  <c r="F87" i="3"/>
  <c r="F87" i="5"/>
  <c r="D87" i="5"/>
  <c r="E87" i="5" s="1"/>
  <c r="F88" i="5" l="1"/>
  <c r="D88" i="5"/>
  <c r="E88" i="5" s="1"/>
  <c r="D88" i="3"/>
  <c r="E88" i="3" s="1"/>
  <c r="F88" i="3"/>
  <c r="D89" i="3" l="1"/>
  <c r="E89" i="3" s="1"/>
  <c r="F89" i="3"/>
  <c r="F89" i="5"/>
  <c r="D89" i="5"/>
  <c r="E89" i="5" s="1"/>
  <c r="F90" i="3" l="1"/>
  <c r="D90" i="3"/>
  <c r="E90" i="3" s="1"/>
  <c r="F90" i="5"/>
  <c r="D90" i="5"/>
  <c r="E90" i="5" s="1"/>
  <c r="F91" i="5" l="1"/>
  <c r="D91" i="5"/>
  <c r="E91" i="5" s="1"/>
  <c r="D91" i="3"/>
  <c r="E91" i="3" s="1"/>
  <c r="F91" i="3"/>
  <c r="D92" i="3" l="1"/>
  <c r="E92" i="3" s="1"/>
  <c r="F92" i="3"/>
  <c r="F92" i="5"/>
  <c r="D92" i="5"/>
  <c r="E92" i="5" s="1"/>
  <c r="D93" i="3" l="1"/>
  <c r="E93" i="3" s="1"/>
  <c r="F93" i="3"/>
  <c r="F93" i="5"/>
  <c r="D93" i="5"/>
  <c r="E93" i="5" s="1"/>
  <c r="F94" i="3" l="1"/>
  <c r="D94" i="3"/>
  <c r="E94" i="3" s="1"/>
  <c r="E95" i="3" s="1"/>
  <c r="F94" i="5"/>
  <c r="D94" i="5"/>
  <c r="E94" i="5" s="1"/>
  <c r="E95" i="5" s="1"/>
  <c r="D95" i="5" l="1"/>
  <c r="D95" i="3"/>
</calcChain>
</file>

<file path=xl/sharedStrings.xml><?xml version="1.0" encoding="utf-8"?>
<sst xmlns="http://schemas.openxmlformats.org/spreadsheetml/2006/main" count="73" uniqueCount="63">
  <si>
    <t>Умови кредитування</t>
  </si>
  <si>
    <t>Вартість авто</t>
  </si>
  <si>
    <t>Строк (к-ть місяців)</t>
  </si>
  <si>
    <t>Відсоткова ставка</t>
  </si>
  <si>
    <t>КАСКО в кредит</t>
  </si>
  <si>
    <t>Тариф по КАСКО</t>
  </si>
  <si>
    <t>Тип умов</t>
  </si>
  <si>
    <t>Одноразова комісія в кредит</t>
  </si>
  <si>
    <t>Одноразова комісія банку</t>
  </si>
  <si>
    <t>Розмір комісії</t>
  </si>
  <si>
    <t>Страховий платіж, грн.</t>
  </si>
  <si>
    <t>Вартість авто, грн.</t>
  </si>
  <si>
    <t>Сума авансу, грн.</t>
  </si>
  <si>
    <t>Сума кредиту, грн.</t>
  </si>
  <si>
    <t>Сума одноразової комісії</t>
  </si>
  <si>
    <t xml:space="preserve">Тариф, % </t>
  </si>
  <si>
    <t>Срок, міс.</t>
  </si>
  <si>
    <t>Life insurance</t>
  </si>
  <si>
    <t>Номер по порядку (місяць)</t>
  </si>
  <si>
    <t>Сума кредиту, яка повинна бути погашена у валюті кредиту</t>
  </si>
  <si>
    <t>Сума відсотків, яка повинна бути погашена у валюті кредиту</t>
  </si>
  <si>
    <t>ВСЬОГО</t>
  </si>
  <si>
    <t>Залишок заборгованості по кредиту у валюті кредиту</t>
  </si>
  <si>
    <t>Авансовий внесок</t>
  </si>
  <si>
    <t>Сума кредиту на авто</t>
  </si>
  <si>
    <t>Сума кредиту на КАСКО</t>
  </si>
  <si>
    <t>Страхування здоров'я позичальника від хвороб та нещасних випадків</t>
  </si>
  <si>
    <t>Сума кредиту на сплату одноразової комісії</t>
  </si>
  <si>
    <t>Загальна сума кредиту</t>
  </si>
  <si>
    <t>Одноразово (від суми кредиту)</t>
  </si>
  <si>
    <t>Одноразово</t>
  </si>
  <si>
    <t>Вказується вручну, залежить від страхової компанії, автомобіля та регіону</t>
  </si>
  <si>
    <t>Щороку під час користування кредитом</t>
  </si>
  <si>
    <t>Єдина комісія, незалежно від кількості учасників угоди (позичальник, дружина, поручитель)</t>
  </si>
  <si>
    <t>Ануїтетний орієнтовний графік погашення заборгованості
по кредиту та відсоткам</t>
  </si>
  <si>
    <t>Стандартний орієнтовний графік погашення заборгованості
по кредиту та відсоткам</t>
  </si>
  <si>
    <t>Ні</t>
  </si>
  <si>
    <t>Послуги МРЕВ (орієнтовно):</t>
  </si>
  <si>
    <t>Відрахування в пенсійний фонд</t>
  </si>
  <si>
    <t>Реєстрація в ДАІ</t>
  </si>
  <si>
    <t>Орієнтовний платіж</t>
  </si>
  <si>
    <t>ВСЬОГО витрати:</t>
  </si>
  <si>
    <t>ВСЬОГО витрати (з урахуванням початкового внеску):</t>
  </si>
  <si>
    <t>Прожитковий мінімум (ПМ)</t>
  </si>
  <si>
    <t>Вартість транспортного засобу (ТЗ)</t>
  </si>
  <si>
    <t>до 165 ПМ</t>
  </si>
  <si>
    <t>від 165 до 290 ПМ</t>
  </si>
  <si>
    <t>вище 290 ПМ</t>
  </si>
  <si>
    <t>Прожитковий мінімум для працездатного населення (ПМ) на дату заповнення:</t>
  </si>
  <si>
    <t>Прожитковий мінімум можна дізнатись на офіційному сайті в Інтернеті:</t>
  </si>
  <si>
    <t>http://index.minfin.com.ua/index/wage/</t>
  </si>
  <si>
    <t>Відсоток від вартості ТЗ</t>
  </si>
  <si>
    <t>ВИТРАТИ:</t>
  </si>
  <si>
    <t>Розрахунок відсотка відрахувань до пенсійного фонду:</t>
  </si>
  <si>
    <t xml:space="preserve">Комісія за операції в Державному реєстрі 
обтяжень рухомого майна </t>
  </si>
  <si>
    <t>Страхування автомобіля (КАСКО) в СК, 
акредитованій банком</t>
  </si>
  <si>
    <t>Страхування ОСЦПВ в СК, 
акредитованій банком</t>
  </si>
  <si>
    <t>Щороку під час користування кредитом 
(від вартості авто)</t>
  </si>
  <si>
    <t>Перший платіж стандарт</t>
  </si>
  <si>
    <t>Щомісячний платіж ануїтет</t>
  </si>
  <si>
    <t>Фізична особа</t>
  </si>
  <si>
    <t>Кредитний калькулятор Infiniti Finance</t>
  </si>
  <si>
    <t>Спеціальні без страхування життя та здоров’я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</si>
</sst>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#&quot; міс.&quot;"/>
    <numFmt numFmtId="166" formatCode="0.0%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11"/>
      <color theme="1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hidden="1"/>
    </xf>
    <xf numFmtId="164" fontId="0" fillId="0" borderId="0" xfId="1" applyFont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164" fontId="0" fillId="0" borderId="1" xfId="1" applyFont="1" applyBorder="1" applyAlignment="1" applyProtection="1">
      <alignment horizontal="center" vertical="center"/>
      <protection hidden="1"/>
    </xf>
    <xf numFmtId="164" fontId="2" fillId="0" borderId="1" xfId="1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164" fontId="2" fillId="0" borderId="0" xfId="1" applyFont="1" applyAlignment="1" applyProtection="1">
      <alignment horizontal="center" vertical="center"/>
      <protection hidden="1"/>
    </xf>
    <xf numFmtId="164" fontId="2" fillId="0" borderId="0" xfId="0" applyNumberFormat="1" applyFont="1" applyAlignment="1" applyProtection="1">
      <alignment horizontal="center" vertical="center"/>
      <protection hidden="1"/>
    </xf>
    <xf numFmtId="14" fontId="0" fillId="0" borderId="0" xfId="0" applyNumberFormat="1" applyAlignment="1" applyProtection="1">
      <alignment horizontal="center" vertical="center"/>
      <protection hidden="1"/>
    </xf>
    <xf numFmtId="0" fontId="2" fillId="0" borderId="0" xfId="0" applyFont="1" applyAlignment="1" applyProtection="1">
      <protection hidden="1"/>
    </xf>
    <xf numFmtId="0" fontId="0" fillId="0" borderId="0" xfId="0" applyProtection="1">
      <protection hidden="1"/>
    </xf>
    <xf numFmtId="0" fontId="3" fillId="0" borderId="0" xfId="0" applyFont="1" applyFill="1" applyAlignment="1" applyProtection="1">
      <protection hidden="1"/>
    </xf>
    <xf numFmtId="164" fontId="0" fillId="0" borderId="0" xfId="1" applyFont="1" applyProtection="1"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 applyProtection="1">
      <alignment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5" fillId="0" borderId="0" xfId="0" applyFont="1" applyAlignment="1" applyProtection="1">
      <alignment vertical="center" wrapText="1"/>
      <protection hidden="1"/>
    </xf>
    <xf numFmtId="164" fontId="9" fillId="0" borderId="1" xfId="1" applyFont="1" applyBorder="1" applyAlignment="1" applyProtection="1">
      <alignment vertical="center" wrapText="1"/>
      <protection locked="0" hidden="1"/>
    </xf>
    <xf numFmtId="0" fontId="2" fillId="0" borderId="1" xfId="0" applyFont="1" applyBorder="1" applyAlignment="1" applyProtection="1">
      <alignment horizontal="right"/>
      <protection locked="0" hidden="1"/>
    </xf>
    <xf numFmtId="164" fontId="2" fillId="0" borderId="1" xfId="1" applyFont="1" applyBorder="1" applyAlignment="1" applyProtection="1">
      <alignment horizontal="right"/>
      <protection locked="0" hidden="1"/>
    </xf>
    <xf numFmtId="165" fontId="2" fillId="0" borderId="1" xfId="0" applyNumberFormat="1" applyFont="1" applyBorder="1" applyAlignment="1" applyProtection="1">
      <alignment horizontal="right"/>
      <protection locked="0" hidden="1"/>
    </xf>
    <xf numFmtId="10" fontId="2" fillId="0" borderId="1" xfId="2" applyNumberFormat="1" applyFont="1" applyBorder="1" applyAlignment="1" applyProtection="1">
      <alignment horizontal="right"/>
      <protection locked="0" hidden="1"/>
    </xf>
    <xf numFmtId="0" fontId="0" fillId="0" borderId="0" xfId="0" applyBorder="1" applyAlignment="1" applyProtection="1">
      <alignment horizontal="center" vertical="center"/>
      <protection hidden="1"/>
    </xf>
    <xf numFmtId="14" fontId="0" fillId="0" borderId="0" xfId="0" applyNumberFormat="1" applyBorder="1" applyAlignment="1" applyProtection="1">
      <alignment horizontal="center" vertical="center"/>
      <protection hidden="1"/>
    </xf>
    <xf numFmtId="0" fontId="2" fillId="0" borderId="0" xfId="0" applyFont="1" applyFill="1" applyBorder="1" applyProtection="1">
      <protection hidden="1"/>
    </xf>
    <xf numFmtId="164" fontId="2" fillId="0" borderId="0" xfId="1" applyFont="1" applyFill="1" applyBorder="1" applyAlignment="1" applyProtection="1">
      <alignment horizontal="right" vertical="center"/>
      <protection hidden="1"/>
    </xf>
    <xf numFmtId="0" fontId="0" fillId="0" borderId="0" xfId="0" applyBorder="1" applyProtection="1">
      <protection hidden="1"/>
    </xf>
    <xf numFmtId="0" fontId="0" fillId="0" borderId="0" xfId="0" applyBorder="1" applyAlignment="1" applyProtection="1">
      <alignment horizontal="right"/>
      <protection hidden="1"/>
    </xf>
    <xf numFmtId="0" fontId="11" fillId="0" borderId="1" xfId="0" applyFont="1" applyFill="1" applyBorder="1" applyAlignment="1" applyProtection="1">
      <alignment horizontal="center" vertical="center" wrapText="1"/>
      <protection locked="0" hidden="1"/>
    </xf>
    <xf numFmtId="0" fontId="2" fillId="2" borderId="1" xfId="0" applyFont="1" applyFill="1" applyBorder="1" applyProtection="1">
      <protection hidden="1"/>
    </xf>
    <xf numFmtId="164" fontId="2" fillId="2" borderId="1" xfId="1" applyFont="1" applyFill="1" applyBorder="1" applyAlignment="1" applyProtection="1">
      <alignment horizontal="right"/>
      <protection hidden="1"/>
    </xf>
    <xf numFmtId="0" fontId="2" fillId="2" borderId="0" xfId="0" applyFont="1" applyFill="1" applyBorder="1" applyProtection="1">
      <protection hidden="1"/>
    </xf>
    <xf numFmtId="164" fontId="2" fillId="2" borderId="0" xfId="1" quotePrefix="1" applyFont="1" applyFill="1" applyBorder="1" applyAlignment="1" applyProtection="1">
      <alignment horizontal="right" vertical="center"/>
      <protection hidden="1"/>
    </xf>
    <xf numFmtId="164" fontId="2" fillId="2" borderId="0" xfId="1" applyFont="1" applyFill="1" applyBorder="1" applyAlignment="1" applyProtection="1">
      <alignment horizontal="right" vertical="center"/>
      <protection hidden="1"/>
    </xf>
    <xf numFmtId="0" fontId="2" fillId="0" borderId="1" xfId="0" applyFont="1" applyBorder="1" applyProtection="1">
      <protection locked="0"/>
    </xf>
    <xf numFmtId="164" fontId="4" fillId="2" borderId="1" xfId="1" applyFont="1" applyFill="1" applyBorder="1" applyAlignment="1" applyProtection="1">
      <alignment vertical="center" wrapText="1"/>
      <protection hidden="1"/>
    </xf>
    <xf numFmtId="10" fontId="4" fillId="2" borderId="1" xfId="2" applyNumberFormat="1" applyFont="1" applyFill="1" applyBorder="1" applyAlignment="1" applyProtection="1">
      <alignment vertical="center" wrapText="1"/>
      <protection hidden="1"/>
    </xf>
    <xf numFmtId="164" fontId="4" fillId="2" borderId="1" xfId="0" applyNumberFormat="1" applyFont="1" applyFill="1" applyBorder="1" applyAlignment="1" applyProtection="1">
      <alignment vertical="center" wrapText="1"/>
      <protection hidden="1"/>
    </xf>
    <xf numFmtId="164" fontId="5" fillId="2" borderId="1" xfId="0" applyNumberFormat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vertical="center" wrapText="1"/>
      <protection hidden="1"/>
    </xf>
    <xf numFmtId="10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vertical="center" wrapText="1"/>
      <protection hidden="1"/>
    </xf>
    <xf numFmtId="10" fontId="2" fillId="2" borderId="1" xfId="1" applyNumberFormat="1" applyFont="1" applyFill="1" applyBorder="1" applyAlignment="1" applyProtection="1">
      <alignment horizontal="center" vertical="center" wrapText="1"/>
      <protection hidden="1"/>
    </xf>
    <xf numFmtId="164" fontId="4" fillId="2" borderId="1" xfId="1" applyFont="1" applyFill="1" applyBorder="1" applyAlignment="1" applyProtection="1">
      <alignment horizontal="center" vertical="center" wrapText="1"/>
      <protection hidden="1"/>
    </xf>
    <xf numFmtId="166" fontId="2" fillId="2" borderId="1" xfId="2" applyNumberFormat="1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164" fontId="5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5" fillId="0" borderId="1" xfId="0" applyFont="1" applyBorder="1" applyAlignment="1" applyProtection="1">
      <alignment horizontal="right"/>
      <protection locked="0" hidden="1"/>
    </xf>
    <xf numFmtId="0" fontId="14" fillId="2" borderId="1" xfId="0" applyFont="1" applyFill="1" applyBorder="1" applyAlignment="1" applyProtection="1">
      <alignment horizontal="center" vertical="center" wrapText="1"/>
      <protection hidden="1"/>
    </xf>
    <xf numFmtId="164" fontId="14" fillId="2" borderId="1" xfId="1" applyFont="1" applyFill="1" applyBorder="1" applyAlignment="1" applyProtection="1">
      <alignment horizontal="center" vertical="center" wrapText="1"/>
      <protection hidden="1"/>
    </xf>
    <xf numFmtId="0" fontId="14" fillId="3" borderId="0" xfId="0" applyFont="1" applyFill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left" vertical="center" wrapText="1"/>
      <protection hidden="1"/>
    </xf>
    <xf numFmtId="0" fontId="10" fillId="0" borderId="0" xfId="0" applyFont="1" applyAlignment="1" applyProtection="1">
      <alignment horizontal="right" vertical="center" wrapText="1"/>
      <protection hidden="1"/>
    </xf>
    <xf numFmtId="0" fontId="8" fillId="0" borderId="0" xfId="4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166" fontId="2" fillId="2" borderId="1" xfId="2" applyNumberFormat="1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right" vertical="center" wrapText="1"/>
      <protection hidden="1"/>
    </xf>
    <xf numFmtId="0" fontId="2" fillId="2" borderId="3" xfId="0" applyFont="1" applyFill="1" applyBorder="1" applyAlignment="1" applyProtection="1">
      <alignment horizontal="right" vertical="center" wrapText="1"/>
      <protection hidden="1"/>
    </xf>
    <xf numFmtId="0" fontId="2" fillId="0" borderId="0" xfId="0" applyFont="1" applyAlignment="1">
      <alignment horizontal="center" vertical="center"/>
    </xf>
  </cellXfs>
  <cellStyles count="10">
    <cellStyle name="AutoFormat-Optionen_General price_list_RENAULT_01_04_2013_PC_with disc" xfId="9" xr:uid="{706A34AA-6CC3-4AAC-A3B6-67F6E4774E05}"/>
    <cellStyle name="Comma" xfId="1" builtinId="3"/>
    <cellStyle name="Hyperlink" xfId="4" builtinId="8"/>
    <cellStyle name="Normal" xfId="0" builtinId="0"/>
    <cellStyle name="Normal 2" xfId="5" xr:uid="{F1BD3506-5D15-45BC-9155-E5CD09AC8441}"/>
    <cellStyle name="Percent" xfId="2" builtinId="5"/>
    <cellStyle name="Обычный 2" xfId="7" xr:uid="{67854601-8C9C-44F4-93AF-AA238CDCDC34}"/>
    <cellStyle name="Обычный 2 3" xfId="3" xr:uid="{1281A094-3D77-4646-8DCF-7DD800460EF0}"/>
    <cellStyle name="Обычный 4" xfId="6" xr:uid="{6F908ED0-4E8B-4EFF-8851-482FAB32867F}"/>
    <cellStyle name="Обычный_Vesko, MOD Template (as at Q3 2003)" xfId="8" xr:uid="{265BA8BE-464C-471C-99CD-A0F5EC0DA563}"/>
  </cellStyles>
  <dxfs count="9">
    <dxf>
      <numFmt numFmtId="14" formatCode="0.00%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D9D9D9"/>
      <color rgb="FFA6A6A6"/>
      <color rgb="FF7193D1"/>
      <color rgb="FF4874C4"/>
      <color rgb="FF3E6CC0"/>
      <color rgb="FF3964B1"/>
      <color rgb="FF20B63D"/>
      <color rgb="FF1CA035"/>
      <color rgb="FF1A9231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183173</xdr:rowOff>
    </xdr:from>
    <xdr:to>
      <xdr:col>3</xdr:col>
      <xdr:colOff>0</xdr:colOff>
      <xdr:row>4</xdr:row>
      <xdr:rowOff>80596</xdr:rowOff>
    </xdr:to>
    <xdr:grpSp>
      <xdr:nvGrpSpPr>
        <xdr:cNvPr id="10" name="Групувати 9">
          <a:extLst>
            <a:ext uri="{FF2B5EF4-FFF2-40B4-BE49-F238E27FC236}">
              <a16:creationId xmlns:a16="http://schemas.microsoft.com/office/drawing/2014/main" id="{3D505632-2561-432C-99AA-15E784F6DDB0}"/>
            </a:ext>
          </a:extLst>
        </xdr:cNvPr>
        <xdr:cNvGrpSpPr/>
      </xdr:nvGrpSpPr>
      <xdr:grpSpPr>
        <a:xfrm>
          <a:off x="640522" y="183173"/>
          <a:ext cx="5400261" cy="626293"/>
          <a:chOff x="608135" y="183173"/>
          <a:chExt cx="5150827" cy="659423"/>
        </a:xfrm>
      </xdr:grpSpPr>
      <xdr:pic>
        <xdr:nvPicPr>
          <xdr:cNvPr id="6" name="Рисунок 5">
            <a:extLst>
              <a:ext uri="{FF2B5EF4-FFF2-40B4-BE49-F238E27FC236}">
                <a16:creationId xmlns:a16="http://schemas.microsoft.com/office/drawing/2014/main" id="{F9CA49D4-C4F9-472D-9F2A-58E230238B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470913" y="183173"/>
            <a:ext cx="1288049" cy="659423"/>
          </a:xfrm>
          <a:prstGeom prst="rect">
            <a:avLst/>
          </a:prstGeom>
        </xdr:spPr>
      </xdr:pic>
      <xdr:pic>
        <xdr:nvPicPr>
          <xdr:cNvPr id="8" name="Рисунок 7">
            <a:extLst>
              <a:ext uri="{FF2B5EF4-FFF2-40B4-BE49-F238E27FC236}">
                <a16:creationId xmlns:a16="http://schemas.microsoft.com/office/drawing/2014/main" id="{D81E6305-CB0F-4E82-A73A-1AA56AA2862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8135" y="389283"/>
            <a:ext cx="1733639" cy="292115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9525</xdr:rowOff>
    </xdr:from>
    <xdr:to>
      <xdr:col>5</xdr:col>
      <xdr:colOff>1619250</xdr:colOff>
      <xdr:row>4</xdr:row>
      <xdr:rowOff>97448</xdr:rowOff>
    </xdr:to>
    <xdr:grpSp>
      <xdr:nvGrpSpPr>
        <xdr:cNvPr id="2" name="Групувати 1">
          <a:extLst>
            <a:ext uri="{FF2B5EF4-FFF2-40B4-BE49-F238E27FC236}">
              <a16:creationId xmlns:a16="http://schemas.microsoft.com/office/drawing/2014/main" id="{9E31ACE8-E842-460F-BE0B-0A1985F2BC27}"/>
            </a:ext>
          </a:extLst>
        </xdr:cNvPr>
        <xdr:cNvGrpSpPr/>
      </xdr:nvGrpSpPr>
      <xdr:grpSpPr>
        <a:xfrm>
          <a:off x="641350" y="193675"/>
          <a:ext cx="6902450" cy="640373"/>
          <a:chOff x="609600" y="200025"/>
          <a:chExt cx="6667500" cy="659423"/>
        </a:xfrm>
      </xdr:grpSpPr>
      <xdr:pic>
        <xdr:nvPicPr>
          <xdr:cNvPr id="6" name="Рисунок 5">
            <a:extLst>
              <a:ext uri="{FF2B5EF4-FFF2-40B4-BE49-F238E27FC236}">
                <a16:creationId xmlns:a16="http://schemas.microsoft.com/office/drawing/2014/main" id="{6EF7734A-AA06-4791-B904-F2926B8EC0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988812" y="200025"/>
            <a:ext cx="1288288" cy="659423"/>
          </a:xfrm>
          <a:prstGeom prst="rect">
            <a:avLst/>
          </a:prstGeom>
        </xdr:spPr>
      </xdr:pic>
      <xdr:pic>
        <xdr:nvPicPr>
          <xdr:cNvPr id="10" name="Рисунок 9">
            <a:extLst>
              <a:ext uri="{FF2B5EF4-FFF2-40B4-BE49-F238E27FC236}">
                <a16:creationId xmlns:a16="http://schemas.microsoft.com/office/drawing/2014/main" id="{A1F4FE6A-B836-41C0-B05F-A54C105BC6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9600" y="381000"/>
            <a:ext cx="1733961" cy="292115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</xdr:col>
      <xdr:colOff>1619250</xdr:colOff>
      <xdr:row>4</xdr:row>
      <xdr:rowOff>87923</xdr:rowOff>
    </xdr:to>
    <xdr:grpSp>
      <xdr:nvGrpSpPr>
        <xdr:cNvPr id="9" name="Групувати 8">
          <a:extLst>
            <a:ext uri="{FF2B5EF4-FFF2-40B4-BE49-F238E27FC236}">
              <a16:creationId xmlns:a16="http://schemas.microsoft.com/office/drawing/2014/main" id="{6535DBC0-7803-487D-BCBC-85BE0E732C3A}"/>
            </a:ext>
          </a:extLst>
        </xdr:cNvPr>
        <xdr:cNvGrpSpPr/>
      </xdr:nvGrpSpPr>
      <xdr:grpSpPr>
        <a:xfrm>
          <a:off x="641350" y="184150"/>
          <a:ext cx="6902450" cy="640373"/>
          <a:chOff x="609600" y="200025"/>
          <a:chExt cx="6667500" cy="659423"/>
        </a:xfrm>
      </xdr:grpSpPr>
      <xdr:pic>
        <xdr:nvPicPr>
          <xdr:cNvPr id="10" name="Рисунок 9">
            <a:extLst>
              <a:ext uri="{FF2B5EF4-FFF2-40B4-BE49-F238E27FC236}">
                <a16:creationId xmlns:a16="http://schemas.microsoft.com/office/drawing/2014/main" id="{AF691DC1-2F37-4283-B054-BCCC1DE4E0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988812" y="200025"/>
            <a:ext cx="1288288" cy="659423"/>
          </a:xfrm>
          <a:prstGeom prst="rect">
            <a:avLst/>
          </a:prstGeom>
        </xdr:spPr>
      </xdr:pic>
      <xdr:pic>
        <xdr:nvPicPr>
          <xdr:cNvPr id="11" name="Рисунок 10">
            <a:extLst>
              <a:ext uri="{FF2B5EF4-FFF2-40B4-BE49-F238E27FC236}">
                <a16:creationId xmlns:a16="http://schemas.microsoft.com/office/drawing/2014/main" id="{BCB7FA37-0C02-4BAA-896B-425F0F4462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9600" y="381000"/>
            <a:ext cx="1733961" cy="292115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732277</xdr:colOff>
      <xdr:row>1</xdr:row>
      <xdr:rowOff>0</xdr:rowOff>
    </xdr:from>
    <xdr:to>
      <xdr:col>1</xdr:col>
      <xdr:colOff>2465916</xdr:colOff>
      <xdr:row>7</xdr:row>
      <xdr:rowOff>16949</xdr:rowOff>
    </xdr:to>
    <xdr:grpSp>
      <xdr:nvGrpSpPr>
        <xdr:cNvPr id="4" name="Групувати 3">
          <a:extLst>
            <a:ext uri="{FF2B5EF4-FFF2-40B4-BE49-F238E27FC236}">
              <a16:creationId xmlns:a16="http://schemas.microsoft.com/office/drawing/2014/main" id="{2E28A3A4-A643-4668-9577-12F4EC25060C}"/>
            </a:ext>
          </a:extLst>
        </xdr:cNvPr>
        <xdr:cNvGrpSpPr/>
      </xdr:nvGrpSpPr>
      <xdr:grpSpPr>
        <a:xfrm>
          <a:off x="1374333" y="183444"/>
          <a:ext cx="1733639" cy="1202283"/>
          <a:chOff x="1392722" y="264583"/>
          <a:chExt cx="1733639" cy="1223449"/>
        </a:xfrm>
      </xdr:grpSpPr>
      <xdr:pic>
        <xdr:nvPicPr>
          <xdr:cNvPr id="6" name="Рисунок 5">
            <a:extLst>
              <a:ext uri="{FF2B5EF4-FFF2-40B4-BE49-F238E27FC236}">
                <a16:creationId xmlns:a16="http://schemas.microsoft.com/office/drawing/2014/main" id="{BB0E2D9D-1537-414A-AB6A-730BC32F7D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15517" y="264583"/>
            <a:ext cx="1288049" cy="659423"/>
          </a:xfrm>
          <a:prstGeom prst="rect">
            <a:avLst/>
          </a:prstGeom>
        </xdr:spPr>
      </xdr:pic>
      <xdr:pic>
        <xdr:nvPicPr>
          <xdr:cNvPr id="8" name="Рисунок 7">
            <a:extLst>
              <a:ext uri="{FF2B5EF4-FFF2-40B4-BE49-F238E27FC236}">
                <a16:creationId xmlns:a16="http://schemas.microsoft.com/office/drawing/2014/main" id="{A7ED7180-0D7A-45C6-8002-6247894DC0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92722" y="1195917"/>
            <a:ext cx="1733639" cy="292115"/>
          </a:xfrm>
          <a:prstGeom prst="rect">
            <a:avLst/>
          </a:prstGeom>
        </xdr:spPr>
      </xdr:pic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044709-20FA-492B-8710-93BDC563F51E}" name="cpiTariff" displayName="cpiTariff" ref="A2:B87" totalsRowShown="0" headerRowDxfId="3" dataDxfId="2">
  <autoFilter ref="A2:B87" xr:uid="{EAB49BF1-EA28-4C1C-B8D3-4CF918B35343}"/>
  <tableColumns count="2">
    <tableColumn id="1" xr3:uid="{7301439F-5AB3-44D5-BE97-6153411AE7C8}" name="Срок, міс." dataDxfId="1"/>
    <tableColumn id="2" xr3:uid="{2B31F9E6-1472-4B0F-8784-354C4352AA38}" name="Тариф, %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index.minfin.com.ua/index/wag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1C0BB-415D-4C0B-933F-B7333D7BFAB0}">
  <dimension ref="A1:XFC36"/>
  <sheetViews>
    <sheetView showGridLines="0" tabSelected="1" zoomScale="115" zoomScaleNormal="115" workbookViewId="0">
      <selection activeCell="B2" sqref="B2"/>
    </sheetView>
  </sheetViews>
  <sheetFormatPr defaultColWidth="0" defaultRowHeight="14.5" zeroHeight="1" x14ac:dyDescent="0.35"/>
  <cols>
    <col min="1" max="1" width="9.1796875" style="13" customWidth="1"/>
    <col min="2" max="2" width="40.1796875" style="13" customWidth="1"/>
    <col min="3" max="3" width="37.1796875" style="18" customWidth="1"/>
    <col min="4" max="4" width="9.1796875" style="13" customWidth="1"/>
    <col min="5" max="5" width="10.453125" style="13" hidden="1"/>
    <col min="6" max="16383" width="9.1796875" style="13" hidden="1"/>
    <col min="16384" max="16384" width="12.26953125" style="13" hidden="1"/>
  </cols>
  <sheetData>
    <row r="1" spans="1:8" x14ac:dyDescent="0.35"/>
    <row r="2" spans="1:8" x14ac:dyDescent="0.35">
      <c r="A2" s="32"/>
      <c r="B2" s="32"/>
      <c r="C2" s="33"/>
      <c r="D2" s="32"/>
    </row>
    <row r="3" spans="1:8" x14ac:dyDescent="0.35">
      <c r="A3" s="32"/>
      <c r="B3" s="32"/>
      <c r="C3" s="33"/>
      <c r="D3" s="32"/>
    </row>
    <row r="4" spans="1:8" x14ac:dyDescent="0.35">
      <c r="A4" s="32"/>
      <c r="B4" s="32"/>
      <c r="C4" s="33"/>
      <c r="D4" s="32"/>
    </row>
    <row r="5" spans="1:8" x14ac:dyDescent="0.35">
      <c r="A5" s="32"/>
      <c r="B5" s="32"/>
      <c r="C5" s="33"/>
      <c r="D5" s="32"/>
    </row>
    <row r="6" spans="1:8" ht="18.5" x14ac:dyDescent="0.45">
      <c r="A6" s="58" t="s">
        <v>61</v>
      </c>
      <c r="B6" s="58"/>
      <c r="C6" s="58"/>
      <c r="D6" s="58"/>
      <c r="E6" s="12"/>
      <c r="F6" s="12"/>
      <c r="G6" s="12"/>
      <c r="H6" s="12"/>
    </row>
    <row r="7" spans="1:8" x14ac:dyDescent="0.35"/>
    <row r="8" spans="1:8" x14ac:dyDescent="0.35"/>
    <row r="9" spans="1:8" x14ac:dyDescent="0.35">
      <c r="B9" s="57" t="s">
        <v>0</v>
      </c>
      <c r="C9" s="57"/>
      <c r="D9" s="14"/>
      <c r="E9" s="14"/>
      <c r="F9" s="14"/>
      <c r="G9" s="14"/>
      <c r="H9" s="14"/>
    </row>
    <row r="10" spans="1:8" x14ac:dyDescent="0.35"/>
    <row r="11" spans="1:8" x14ac:dyDescent="0.35">
      <c r="B11" s="35" t="s">
        <v>6</v>
      </c>
      <c r="C11" s="54" t="s">
        <v>62</v>
      </c>
      <c r="E11" s="15">
        <f>IF(C11="Стандартні зі страхуванням життя та здоров’я",(C13-C17+E23)*VLOOKUP(C15,cpiTariff[],2,0),0)</f>
        <v>0</v>
      </c>
    </row>
    <row r="12" spans="1:8" x14ac:dyDescent="0.35">
      <c r="B12" s="16"/>
      <c r="C12" s="17"/>
    </row>
    <row r="13" spans="1:8" x14ac:dyDescent="0.35">
      <c r="B13" s="35" t="s">
        <v>11</v>
      </c>
      <c r="C13" s="40">
        <v>2589700</v>
      </c>
    </row>
    <row r="14" spans="1:8" x14ac:dyDescent="0.35">
      <c r="B14" s="16"/>
      <c r="C14" s="17"/>
    </row>
    <row r="15" spans="1:8" x14ac:dyDescent="0.35">
      <c r="B15" s="35" t="s">
        <v>2</v>
      </c>
      <c r="C15" s="26">
        <v>60</v>
      </c>
    </row>
    <row r="16" spans="1:8" x14ac:dyDescent="0.35">
      <c r="B16" s="16"/>
      <c r="C16" s="17"/>
    </row>
    <row r="17" spans="2:5" x14ac:dyDescent="0.35">
      <c r="B17" s="35" t="s">
        <v>12</v>
      </c>
      <c r="C17" s="25">
        <f>C13*50%</f>
        <v>1294850</v>
      </c>
    </row>
    <row r="18" spans="2:5" x14ac:dyDescent="0.35">
      <c r="B18" s="16"/>
      <c r="C18" s="17"/>
    </row>
    <row r="19" spans="2:5" x14ac:dyDescent="0.35">
      <c r="B19" s="35" t="s">
        <v>13</v>
      </c>
      <c r="C19" s="36">
        <f>C13-C17+E11+E23+E27</f>
        <v>1294850</v>
      </c>
    </row>
    <row r="20" spans="2:5" x14ac:dyDescent="0.35">
      <c r="B20" s="16"/>
      <c r="C20" s="17"/>
    </row>
    <row r="21" spans="2:5" x14ac:dyDescent="0.35">
      <c r="B21" s="35" t="s">
        <v>3</v>
      </c>
      <c r="C21" s="27">
        <v>7.9899999999999999E-2</v>
      </c>
    </row>
    <row r="22" spans="2:5" x14ac:dyDescent="0.35">
      <c r="B22" s="16"/>
      <c r="C22" s="17"/>
    </row>
    <row r="23" spans="2:5" x14ac:dyDescent="0.35">
      <c r="B23" s="35" t="s">
        <v>4</v>
      </c>
      <c r="C23" s="24" t="s">
        <v>36</v>
      </c>
      <c r="E23" s="15">
        <f>IF(C23="Так",C13*C24,0)</f>
        <v>0</v>
      </c>
    </row>
    <row r="24" spans="2:5" x14ac:dyDescent="0.35">
      <c r="B24" s="35" t="s">
        <v>5</v>
      </c>
      <c r="C24" s="27">
        <v>6.4899999999999999E-2</v>
      </c>
    </row>
    <row r="25" spans="2:5" x14ac:dyDescent="0.35">
      <c r="B25" s="35" t="s">
        <v>10</v>
      </c>
      <c r="C25" s="36">
        <f>C13*C24</f>
        <v>168071.53</v>
      </c>
    </row>
    <row r="26" spans="2:5" x14ac:dyDescent="0.35">
      <c r="B26" s="16"/>
      <c r="C26" s="17"/>
    </row>
    <row r="27" spans="2:5" x14ac:dyDescent="0.35">
      <c r="B27" s="35" t="s">
        <v>7</v>
      </c>
      <c r="C27" s="24" t="s">
        <v>36</v>
      </c>
      <c r="E27" s="15">
        <f>IF(C27="Так",(C13-C17+E11+E23)*C28,0)</f>
        <v>0</v>
      </c>
    </row>
    <row r="28" spans="2:5" x14ac:dyDescent="0.35">
      <c r="B28" s="35" t="s">
        <v>9</v>
      </c>
      <c r="C28" s="27">
        <v>1.9E-2</v>
      </c>
    </row>
    <row r="29" spans="2:5" x14ac:dyDescent="0.35">
      <c r="B29" s="35" t="s">
        <v>14</v>
      </c>
      <c r="C29" s="36">
        <f>(C13-C17+E11+E23)*C28</f>
        <v>24602.149999999998</v>
      </c>
    </row>
    <row r="30" spans="2:5" x14ac:dyDescent="0.35">
      <c r="B30" s="16"/>
      <c r="C30" s="17"/>
    </row>
    <row r="31" spans="2:5" x14ac:dyDescent="0.35">
      <c r="B31" s="16"/>
      <c r="C31" s="17"/>
    </row>
    <row r="32" spans="2:5" x14ac:dyDescent="0.35">
      <c r="B32" s="16"/>
      <c r="C32" s="17"/>
    </row>
    <row r="33" spans="2:3" x14ac:dyDescent="0.35">
      <c r="B33" s="37" t="s">
        <v>58</v>
      </c>
      <c r="C33" s="38">
        <f ca="1">'Графік погашення стандартний'!E11</f>
        <v>30367.720908675798</v>
      </c>
    </row>
    <row r="34" spans="2:3" x14ac:dyDescent="0.35">
      <c r="B34" s="37" t="s">
        <v>59</v>
      </c>
      <c r="C34" s="39">
        <f>'Графік погашення ануїтет'!E11</f>
        <v>26248.692634931213</v>
      </c>
    </row>
    <row r="35" spans="2:3" x14ac:dyDescent="0.35">
      <c r="B35" s="30"/>
      <c r="C35" s="31"/>
    </row>
    <row r="36" spans="2:3" x14ac:dyDescent="0.35"/>
  </sheetData>
  <sheetProtection algorithmName="SHA-512" hashValue="4CmUsIUc6hQnMNb+XrYqh4y3c5TK6/ppbNv4NoC3/l6dVzpiNkIKdLKoIUIOkNeRhHbKv1mWjCmO9UQpMyswzA==" saltValue="YEgl/2/bQNOPkco/lvq9zQ==" spinCount="100000" sheet="1" objects="1" scenarios="1"/>
  <mergeCells count="2">
    <mergeCell ref="B9:C9"/>
    <mergeCell ref="A6:D6"/>
  </mergeCells>
  <conditionalFormatting sqref="C15">
    <cfRule type="cellIs" dxfId="8" priority="5" operator="greaterThan">
      <formula>84</formula>
    </cfRule>
  </conditionalFormatting>
  <conditionalFormatting sqref="C17">
    <cfRule type="cellIs" dxfId="7" priority="3" operator="greaterThanOrEqual">
      <formula>$C$13</formula>
    </cfRule>
  </conditionalFormatting>
  <conditionalFormatting sqref="C21 C24 C28">
    <cfRule type="cellIs" dxfId="6" priority="2" operator="lessThan">
      <formula>0</formula>
    </cfRule>
  </conditionalFormatting>
  <dataValidations count="2">
    <dataValidation type="list" allowBlank="1" showInputMessage="1" showErrorMessage="1" sqref="C11" xr:uid="{3EFD9D66-5A0C-4BBA-B541-2BEAEFC338AB}">
      <formula1>"Стандартні зі страхуванням життя та здоров’я, Спеціальні без страхування життя та здоров’я"</formula1>
    </dataValidation>
    <dataValidation type="list" allowBlank="1" showInputMessage="1" showErrorMessage="1" sqref="C23 C27" xr:uid="{BB757294-77F1-4215-B430-2C41CE6396BC}">
      <formula1>"Ні,Так"</formula1>
    </dataValidation>
  </dataValidations>
  <pageMargins left="0.7" right="0.7" top="0.75" bottom="0.75" header="0.3" footer="0.3"/>
  <pageSetup paperSize="9" scale="91" orientation="portrait" r:id="rId1"/>
  <headerFooter>
    <oddFooter>&amp;R_x000D_&amp;1#&amp;"Arial"&amp;10&amp;K000000 Confidential 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469AA-A109-448A-8193-BB1F7A0FCEE2}">
  <dimension ref="A1:I96"/>
  <sheetViews>
    <sheetView showGridLines="0" zoomScaleNormal="100" workbookViewId="0">
      <selection activeCell="C4" sqref="C4"/>
    </sheetView>
  </sheetViews>
  <sheetFormatPr defaultColWidth="0" defaultRowHeight="14.5" zeroHeight="1" x14ac:dyDescent="0.35"/>
  <cols>
    <col min="1" max="1" width="9.1796875" style="3" customWidth="1"/>
    <col min="2" max="2" width="11.54296875" style="3" customWidth="1"/>
    <col min="3" max="3" width="22.54296875" style="3" customWidth="1"/>
    <col min="4" max="4" width="23.54296875" style="3" customWidth="1"/>
    <col min="5" max="5" width="18" style="3" customWidth="1"/>
    <col min="6" max="6" width="25.1796875" style="3" customWidth="1"/>
    <col min="7" max="7" width="9.1796875" style="3" customWidth="1"/>
    <col min="8" max="8" width="9.1796875" style="3" hidden="1" customWidth="1"/>
    <col min="9" max="9" width="10.1796875" style="11" hidden="1" customWidth="1"/>
    <col min="10" max="16384" width="9.1796875" style="3" hidden="1"/>
  </cols>
  <sheetData>
    <row r="1" spans="2:9" x14ac:dyDescent="0.35"/>
    <row r="2" spans="2:9" x14ac:dyDescent="0.35"/>
    <row r="3" spans="2:9" s="28" customFormat="1" x14ac:dyDescent="0.35">
      <c r="I3" s="29"/>
    </row>
    <row r="4" spans="2:9" x14ac:dyDescent="0.35"/>
    <row r="5" spans="2:9" x14ac:dyDescent="0.35"/>
    <row r="6" spans="2:9" x14ac:dyDescent="0.35"/>
    <row r="7" spans="2:9" x14ac:dyDescent="0.35">
      <c r="B7" s="59" t="s">
        <v>35</v>
      </c>
      <c r="C7" s="60"/>
      <c r="D7" s="60"/>
      <c r="E7" s="60"/>
      <c r="F7" s="60"/>
    </row>
    <row r="8" spans="2:9" ht="18.75" customHeight="1" x14ac:dyDescent="0.35">
      <c r="B8" s="60"/>
      <c r="C8" s="60"/>
      <c r="D8" s="60"/>
      <c r="E8" s="60"/>
      <c r="F8" s="60"/>
      <c r="H8" s="3">
        <v>1</v>
      </c>
    </row>
    <row r="9" spans="2:9" x14ac:dyDescent="0.35">
      <c r="H9" s="3">
        <v>2</v>
      </c>
    </row>
    <row r="10" spans="2:9" ht="43.5" x14ac:dyDescent="0.35">
      <c r="B10" s="55" t="s">
        <v>18</v>
      </c>
      <c r="C10" s="56" t="s">
        <v>19</v>
      </c>
      <c r="D10" s="55" t="s">
        <v>20</v>
      </c>
      <c r="E10" s="55" t="s">
        <v>21</v>
      </c>
      <c r="F10" s="55" t="s">
        <v>22</v>
      </c>
      <c r="H10" s="3">
        <v>3</v>
      </c>
      <c r="I10" s="11">
        <f ca="1">TODAY()</f>
        <v>45226</v>
      </c>
    </row>
    <row r="11" spans="2:9" x14ac:dyDescent="0.35">
      <c r="B11" s="5">
        <v>1</v>
      </c>
      <c r="C11" s="6">
        <f>IF(B11&lt;='Вхідні дані'!$C$15,'Вхідні дані'!$C$19/'Вхідні дані'!$C$15,0)</f>
        <v>21580.833333333332</v>
      </c>
      <c r="D11" s="6">
        <f ca="1">'Вхідні дані'!$C$19*'Вхідні дані'!$C$21/365*('Графік погашення стандартний'!I11-'Графік погашення стандартний'!I10)</f>
        <v>8786.8875753424654</v>
      </c>
      <c r="E11" s="7">
        <f ca="1">IF(B11&lt;='Вхідні дані'!$C$15,C11+D11,0)</f>
        <v>30367.720908675798</v>
      </c>
      <c r="F11" s="6">
        <f>'Вхідні дані'!$C$19-C11:C12</f>
        <v>1273269.1666666667</v>
      </c>
      <c r="H11" s="3">
        <v>4</v>
      </c>
      <c r="I11" s="11">
        <f ca="1">IF(DAY(TODAY())&gt;DAY(DATE(YEAR(TODAY()),MONTH(TODAY())+H8+1,1)-1),DATE(YEAR(TODAY()),MONTH(TODAY())+H8+1,1)-1,DATE(YEAR(TODAY()),MONTH(TODAY())+H8,DAY(TODAY())))</f>
        <v>45257</v>
      </c>
    </row>
    <row r="12" spans="2:9" x14ac:dyDescent="0.35">
      <c r="B12" s="5">
        <v>2</v>
      </c>
      <c r="C12" s="6">
        <f>IF(B12&lt;='Вхідні дані'!$C$15,'Вхідні дані'!$C$19/'Вхідні дані'!$C$15,0)</f>
        <v>21580.833333333332</v>
      </c>
      <c r="D12" s="6">
        <f ca="1">IF(B12&lt;='Вхідні дані'!$C$15,F11*'Вхідні дані'!$C$21/365*(I12-I11),0)</f>
        <v>8361.7155958904114</v>
      </c>
      <c r="E12" s="7">
        <f ca="1">IF(B12&lt;='Вхідні дані'!$C$15,C12+D12,0)</f>
        <v>29942.548929223743</v>
      </c>
      <c r="F12" s="6">
        <f>IF(B12&lt;='Вхідні дані'!$C$15,F11-C12:C13,0)</f>
        <v>1251688.3333333335</v>
      </c>
      <c r="H12" s="3">
        <v>5</v>
      </c>
      <c r="I12" s="11">
        <f t="shared" ref="I12:I75" ca="1" si="0">IF(DAY(TODAY())&gt;DAY(DATE(YEAR(TODAY()),MONTH(TODAY())+H9+1,1)-1),DATE(YEAR(TODAY()),MONTH(TODAY())+H9+1,1)-1,DATE(YEAR(TODAY()),MONTH(TODAY())+H9,DAY(TODAY())))</f>
        <v>45287</v>
      </c>
    </row>
    <row r="13" spans="2:9" x14ac:dyDescent="0.35">
      <c r="B13" s="5">
        <v>3</v>
      </c>
      <c r="C13" s="6">
        <f>IF(B13&lt;='Вхідні дані'!$C$15,'Вхідні дані'!$C$19/'Вхідні дані'!$C$15,0)</f>
        <v>21580.833333333332</v>
      </c>
      <c r="D13" s="6">
        <f ca="1">IF(B13&lt;='Вхідні дані'!$C$15,F12*'Вхідні дані'!$C$21/365*(I13-I12),0)</f>
        <v>8493.9913228310525</v>
      </c>
      <c r="E13" s="7">
        <f ca="1">IF(B13&lt;='Вхідні дані'!$C$15,C13+D13,0)</f>
        <v>30074.824656164383</v>
      </c>
      <c r="F13" s="6">
        <f>IF(B13&lt;='Вхідні дані'!$C$15,F12-C13:C14,0)</f>
        <v>1230107.5000000002</v>
      </c>
      <c r="H13" s="3">
        <v>6</v>
      </c>
      <c r="I13" s="11">
        <f t="shared" ca="1" si="0"/>
        <v>45318</v>
      </c>
    </row>
    <row r="14" spans="2:9" x14ac:dyDescent="0.35">
      <c r="B14" s="5">
        <v>4</v>
      </c>
      <c r="C14" s="6">
        <f>IF(B14&lt;='Вхідні дані'!$C$15,'Вхідні дані'!$C$19/'Вхідні дані'!$C$15,0)</f>
        <v>21580.833333333332</v>
      </c>
      <c r="D14" s="6">
        <f ca="1">IF(B14&lt;='Вхідні дані'!$C$15,F13*'Вхідні дані'!$C$21/365*(I14-I13),0)</f>
        <v>8347.5431965753451</v>
      </c>
      <c r="E14" s="7">
        <f ca="1">IF(B14&lt;='Вхідні дані'!$C$15,C14+D14,0)</f>
        <v>29928.376529908677</v>
      </c>
      <c r="F14" s="6">
        <f>IF(B14&lt;='Вхідні дані'!$C$15,F13-C14:C15,0)</f>
        <v>1208526.666666667</v>
      </c>
      <c r="H14" s="3">
        <v>7</v>
      </c>
      <c r="I14" s="11">
        <f t="shared" ca="1" si="0"/>
        <v>45349</v>
      </c>
    </row>
    <row r="15" spans="2:9" x14ac:dyDescent="0.35">
      <c r="B15" s="5">
        <v>5</v>
      </c>
      <c r="C15" s="6">
        <f>IF(B15&lt;='Вхідні дані'!$C$15,'Вхідні дані'!$C$19/'Вхідні дані'!$C$15,0)</f>
        <v>21580.833333333332</v>
      </c>
      <c r="D15" s="6">
        <f ca="1">IF(B15&lt;='Вхідні дані'!$C$15,F14*'Вхідні дані'!$C$21/365*(I15-I14),0)</f>
        <v>7671.9921625570787</v>
      </c>
      <c r="E15" s="7">
        <f ca="1">IF(B15&lt;='Вхідні дані'!$C$15,C15+D15,0)</f>
        <v>29252.825495890411</v>
      </c>
      <c r="F15" s="6">
        <f>IF(B15&lt;='Вхідні дані'!$C$15,F14-C15:C16,0)</f>
        <v>1186945.8333333337</v>
      </c>
      <c r="H15" s="3">
        <v>8</v>
      </c>
      <c r="I15" s="11">
        <f t="shared" ca="1" si="0"/>
        <v>45378</v>
      </c>
    </row>
    <row r="16" spans="2:9" x14ac:dyDescent="0.35">
      <c r="B16" s="5">
        <v>6</v>
      </c>
      <c r="C16" s="6">
        <f>IF(B16&lt;='Вхідні дані'!$C$15,'Вхідні дані'!$C$19/'Вхідні дані'!$C$15,0)</f>
        <v>21580.833333333332</v>
      </c>
      <c r="D16" s="6">
        <f ca="1">IF(B16&lt;='Вхідні дані'!$C$15,F15*'Вхідні дані'!$C$21/365*(I16-I15),0)</f>
        <v>8054.6469440639285</v>
      </c>
      <c r="E16" s="7">
        <f ca="1">IF(B16&lt;='Вхідні дані'!$C$15,C16+D16,0)</f>
        <v>29635.480277397262</v>
      </c>
      <c r="F16" s="6">
        <f>IF(B16&lt;='Вхідні дані'!$C$15,F15-C16:C17,0)</f>
        <v>1165365.0000000005</v>
      </c>
      <c r="H16" s="3">
        <v>9</v>
      </c>
      <c r="I16" s="11">
        <f t="shared" ca="1" si="0"/>
        <v>45409</v>
      </c>
    </row>
    <row r="17" spans="2:9" x14ac:dyDescent="0.35">
      <c r="B17" s="5">
        <v>7</v>
      </c>
      <c r="C17" s="6">
        <f>IF(B17&lt;='Вхідні дані'!$C$15,'Вхідні дані'!$C$19/'Вхідні дані'!$C$15,0)</f>
        <v>21580.833333333332</v>
      </c>
      <c r="D17" s="6">
        <f ca="1">IF(B17&lt;='Вхідні дані'!$C$15,F16*'Вхідні дані'!$C$21/365*(I17-I16),0)</f>
        <v>7653.0956301369888</v>
      </c>
      <c r="E17" s="7">
        <f ca="1">IF(B17&lt;='Вхідні дані'!$C$15,C17+D17,0)</f>
        <v>29233.92896347032</v>
      </c>
      <c r="F17" s="6">
        <f>IF(B17&lt;='Вхідні дані'!$C$15,F16-C17:C18,0)</f>
        <v>1143784.1666666672</v>
      </c>
      <c r="H17" s="3">
        <v>10</v>
      </c>
      <c r="I17" s="11">
        <f t="shared" ca="1" si="0"/>
        <v>45439</v>
      </c>
    </row>
    <row r="18" spans="2:9" x14ac:dyDescent="0.35">
      <c r="B18" s="5">
        <v>8</v>
      </c>
      <c r="C18" s="6">
        <f>IF(B18&lt;='Вхідні дані'!$C$15,'Вхідні дані'!$C$19/'Вхідні дані'!$C$15,0)</f>
        <v>21580.833333333332</v>
      </c>
      <c r="D18" s="6">
        <f ca="1">IF(B18&lt;='Вхідні дані'!$C$15,F17*'Вхідні дані'!$C$21/365*(I18-I17),0)</f>
        <v>7761.7506915525146</v>
      </c>
      <c r="E18" s="7">
        <f ca="1">IF(B18&lt;='Вхідні дані'!$C$15,C18+D18,0)</f>
        <v>29342.584024885848</v>
      </c>
      <c r="F18" s="6">
        <f>IF(B18&lt;='Вхідні дані'!$C$15,F17-C18:C19,0)</f>
        <v>1122203.333333334</v>
      </c>
      <c r="H18" s="3">
        <v>11</v>
      </c>
      <c r="I18" s="11">
        <f t="shared" ca="1" si="0"/>
        <v>45470</v>
      </c>
    </row>
    <row r="19" spans="2:9" x14ac:dyDescent="0.35">
      <c r="B19" s="5">
        <v>9</v>
      </c>
      <c r="C19" s="6">
        <f>IF(B19&lt;='Вхідні дані'!$C$15,'Вхідні дані'!$C$19/'Вхідні дані'!$C$15,0)</f>
        <v>21580.833333333332</v>
      </c>
      <c r="D19" s="6">
        <f ca="1">IF(B19&lt;='Вхідні дані'!$C$15,F18*'Вхідні дані'!$C$21/365*(I19-I18),0)</f>
        <v>7369.6476438356203</v>
      </c>
      <c r="E19" s="7">
        <f ca="1">IF(B19&lt;='Вхідні дані'!$C$15,C19+D19,0)</f>
        <v>28950.480977168954</v>
      </c>
      <c r="F19" s="6">
        <f>IF(B19&lt;='Вхідні дані'!$C$15,F18-C19:C20,0)</f>
        <v>1100622.5000000007</v>
      </c>
      <c r="H19" s="3">
        <v>12</v>
      </c>
      <c r="I19" s="11">
        <f t="shared" ca="1" si="0"/>
        <v>45500</v>
      </c>
    </row>
    <row r="20" spans="2:9" x14ac:dyDescent="0.35">
      <c r="B20" s="5">
        <v>10</v>
      </c>
      <c r="C20" s="6">
        <f>IF(B20&lt;='Вхідні дані'!$C$15,'Вхідні дані'!$C$19/'Вхідні дані'!$C$15,0)</f>
        <v>21580.833333333332</v>
      </c>
      <c r="D20" s="6">
        <f ca="1">IF(B20&lt;='Вхідні дані'!$C$15,F19*'Вхідні дані'!$C$21/365*(I20-I19),0)</f>
        <v>7468.8544390411016</v>
      </c>
      <c r="E20" s="7">
        <f ca="1">IF(B20&lt;='Вхідні дані'!$C$15,C20+D20,0)</f>
        <v>29049.687772374433</v>
      </c>
      <c r="F20" s="6">
        <f>IF(B20&lt;='Вхідні дані'!$C$15,F19-C20:C21,0)</f>
        <v>1079041.6666666674</v>
      </c>
      <c r="H20" s="3">
        <v>13</v>
      </c>
      <c r="I20" s="11">
        <f t="shared" ca="1" si="0"/>
        <v>45531</v>
      </c>
    </row>
    <row r="21" spans="2:9" x14ac:dyDescent="0.35">
      <c r="B21" s="5">
        <v>11</v>
      </c>
      <c r="C21" s="6">
        <f>IF(B21&lt;='Вхідні дані'!$C$15,'Вхідні дані'!$C$19/'Вхідні дані'!$C$15,0)</f>
        <v>21580.833333333332</v>
      </c>
      <c r="D21" s="6">
        <f ca="1">IF(B21&lt;='Вхідні дані'!$C$15,F20*'Вхідні дані'!$C$21/365*(I21-I20),0)</f>
        <v>7322.4063127853933</v>
      </c>
      <c r="E21" s="7">
        <f ca="1">IF(B21&lt;='Вхідні дані'!$C$15,C21+D21,0)</f>
        <v>28903.239646118724</v>
      </c>
      <c r="F21" s="6">
        <f>IF(B21&lt;='Вхідні дані'!$C$15,F20-C21:C22,0)</f>
        <v>1057460.8333333342</v>
      </c>
      <c r="H21" s="3">
        <v>14</v>
      </c>
      <c r="I21" s="11">
        <f t="shared" ca="1" si="0"/>
        <v>45562</v>
      </c>
    </row>
    <row r="22" spans="2:9" x14ac:dyDescent="0.35">
      <c r="B22" s="5">
        <v>12</v>
      </c>
      <c r="C22" s="6">
        <f>IF(B22&lt;='Вхідні дані'!$C$15,'Вхідні дані'!$C$19/'Вхідні дані'!$C$15,0)</f>
        <v>21580.833333333332</v>
      </c>
      <c r="D22" s="6">
        <f ca="1">IF(B22&lt;='Вхідні дані'!$C$15,F21*'Вхідні дані'!$C$21/365*(I22-I21),0)</f>
        <v>6944.4756643835672</v>
      </c>
      <c r="E22" s="7">
        <f ca="1">IF(B22&lt;='Вхідні дані'!$C$15,C22+D22,0)</f>
        <v>28525.3089977169</v>
      </c>
      <c r="F22" s="6">
        <f>IF(B22&lt;='Вхідні дані'!$C$15,F21-C22:C23,0)</f>
        <v>1035880.0000000008</v>
      </c>
      <c r="H22" s="3">
        <v>15</v>
      </c>
      <c r="I22" s="11">
        <f t="shared" ca="1" si="0"/>
        <v>45592</v>
      </c>
    </row>
    <row r="23" spans="2:9" x14ac:dyDescent="0.35">
      <c r="B23" s="5">
        <v>13</v>
      </c>
      <c r="C23" s="6">
        <f>IF(B23&lt;='Вхідні дані'!$C$15,'Вхідні дані'!$C$19/'Вхідні дані'!$C$15,0)</f>
        <v>21580.833333333332</v>
      </c>
      <c r="D23" s="6">
        <f ca="1">IF(B23&lt;='Вхідні дані'!$C$15,F22*'Вхідні дані'!$C$21/365*(I23-I22),0)</f>
        <v>7029.5100602739776</v>
      </c>
      <c r="E23" s="7">
        <f ca="1">IF(B23&lt;='Вхідні дані'!$C$15,C23+D23,0)</f>
        <v>28610.343393607309</v>
      </c>
      <c r="F23" s="6">
        <f>IF(B23&lt;='Вхідні дані'!$C$15,F22-C23:C24,0)</f>
        <v>1014299.1666666674</v>
      </c>
      <c r="H23" s="3">
        <v>16</v>
      </c>
      <c r="I23" s="11">
        <f t="shared" ca="1" si="0"/>
        <v>45623</v>
      </c>
    </row>
    <row r="24" spans="2:9" x14ac:dyDescent="0.35">
      <c r="B24" s="5">
        <v>14</v>
      </c>
      <c r="C24" s="6">
        <f>IF(B24&lt;='Вхідні дані'!$C$15,'Вхідні дані'!$C$19/'Вхідні дані'!$C$15,0)</f>
        <v>21580.833333333332</v>
      </c>
      <c r="D24" s="6">
        <f ca="1">IF(B24&lt;='Вхідні дані'!$C$15,F23*'Вхідні дані'!$C$21/365*(I24-I23),0)</f>
        <v>6661.0276780821969</v>
      </c>
      <c r="E24" s="7">
        <f ca="1">IF(B24&lt;='Вхідні дані'!$C$15,C24+D24,0)</f>
        <v>28241.861011415531</v>
      </c>
      <c r="F24" s="6">
        <f>IF(B24&lt;='Вхідні дані'!$C$15,F23-C24:C25,0)</f>
        <v>992718.33333333407</v>
      </c>
      <c r="H24" s="3">
        <v>17</v>
      </c>
      <c r="I24" s="11">
        <f t="shared" ca="1" si="0"/>
        <v>45653</v>
      </c>
    </row>
    <row r="25" spans="2:9" x14ac:dyDescent="0.35">
      <c r="B25" s="5">
        <v>15</v>
      </c>
      <c r="C25" s="6">
        <f>IF(B25&lt;='Вхідні дані'!$C$15,'Вхідні дані'!$C$19/'Вхідні дані'!$C$15,0)</f>
        <v>21580.833333333332</v>
      </c>
      <c r="D25" s="6">
        <f ca="1">IF(B25&lt;='Вхідні дані'!$C$15,F24*'Вхідні дані'!$C$21/365*(I25-I24),0)</f>
        <v>6736.613807762561</v>
      </c>
      <c r="E25" s="7">
        <f ca="1">IF(B25&lt;='Вхідні дані'!$C$15,C25+D25,0)</f>
        <v>28317.447141095894</v>
      </c>
      <c r="F25" s="6">
        <f>IF(B25&lt;='Вхідні дані'!$C$15,F24-C25:C26,0)</f>
        <v>971137.5000000007</v>
      </c>
      <c r="H25" s="3">
        <v>18</v>
      </c>
      <c r="I25" s="11">
        <f t="shared" ca="1" si="0"/>
        <v>45684</v>
      </c>
    </row>
    <row r="26" spans="2:9" x14ac:dyDescent="0.35">
      <c r="B26" s="5">
        <v>16</v>
      </c>
      <c r="C26" s="6">
        <f>IF(B26&lt;='Вхідні дані'!$C$15,'Вхідні дані'!$C$19/'Вхідні дані'!$C$15,0)</f>
        <v>21580.833333333332</v>
      </c>
      <c r="D26" s="6">
        <f ca="1">IF(B26&lt;='Вхідні дані'!$C$15,F25*'Вхідні дані'!$C$21/365*(I26-I25),0)</f>
        <v>6590.1656815068536</v>
      </c>
      <c r="E26" s="7">
        <f ca="1">IF(B26&lt;='Вхідні дані'!$C$15,C26+D26,0)</f>
        <v>28170.999014840185</v>
      </c>
      <c r="F26" s="6">
        <f>IF(B26&lt;='Вхідні дані'!$C$15,F25-C26:C27,0)</f>
        <v>949556.66666666733</v>
      </c>
      <c r="H26" s="3">
        <v>19</v>
      </c>
      <c r="I26" s="11">
        <f t="shared" ca="1" si="0"/>
        <v>45715</v>
      </c>
    </row>
    <row r="27" spans="2:9" x14ac:dyDescent="0.35">
      <c r="B27" s="5">
        <v>17</v>
      </c>
      <c r="C27" s="6">
        <f>IF(B27&lt;='Вхідні дані'!$C$15,'Вхідні дані'!$C$19/'Вхідні дані'!$C$15,0)</f>
        <v>21580.833333333332</v>
      </c>
      <c r="D27" s="6">
        <f ca="1">IF(B27&lt;='Вхідні дані'!$C$15,F26*'Вхідні дані'!$C$21/365*(I27-I26),0)</f>
        <v>5820.1319853881323</v>
      </c>
      <c r="E27" s="7">
        <f ca="1">IF(B27&lt;='Вхідні дані'!$C$15,C27+D27,0)</f>
        <v>27400.965318721464</v>
      </c>
      <c r="F27" s="6">
        <f>IF(B27&lt;='Вхідні дані'!$C$15,F26-C27:C28,0)</f>
        <v>927975.83333333395</v>
      </c>
      <c r="H27" s="3">
        <v>20</v>
      </c>
      <c r="I27" s="11">
        <f t="shared" ca="1" si="0"/>
        <v>45743</v>
      </c>
    </row>
    <row r="28" spans="2:9" x14ac:dyDescent="0.35">
      <c r="B28" s="5">
        <v>18</v>
      </c>
      <c r="C28" s="6">
        <f>IF(B28&lt;='Вхідні дані'!$C$15,'Вхідні дані'!$C$19/'Вхідні дані'!$C$15,0)</f>
        <v>21580.833333333332</v>
      </c>
      <c r="D28" s="6">
        <f ca="1">IF(B28&lt;='Вхідні дані'!$C$15,F27*'Вхідні дані'!$C$21/365*(I28-I27),0)</f>
        <v>6297.2694289954379</v>
      </c>
      <c r="E28" s="7">
        <f ca="1">IF(B28&lt;='Вхідні дані'!$C$15,C28+D28,0)</f>
        <v>27878.10276232877</v>
      </c>
      <c r="F28" s="6">
        <f>IF(B28&lt;='Вхідні дані'!$C$15,F27-C28:C29,0)</f>
        <v>906395.00000000058</v>
      </c>
      <c r="H28" s="3">
        <v>21</v>
      </c>
      <c r="I28" s="11">
        <f t="shared" ca="1" si="0"/>
        <v>45774</v>
      </c>
    </row>
    <row r="29" spans="2:9" x14ac:dyDescent="0.35">
      <c r="B29" s="5">
        <v>19</v>
      </c>
      <c r="C29" s="6">
        <f>IF(B29&lt;='Вхідні дані'!$C$15,'Вхідні дані'!$C$19/'Вхідні дані'!$C$15,0)</f>
        <v>21580.833333333332</v>
      </c>
      <c r="D29" s="6">
        <f ca="1">IF(B29&lt;='Вхідні дані'!$C$15,F28*'Вхідні дані'!$C$21/365*(I29-I28),0)</f>
        <v>5952.4077123287707</v>
      </c>
      <c r="E29" s="7">
        <f ca="1">IF(B29&lt;='Вхідні дані'!$C$15,C29+D29,0)</f>
        <v>27533.241045662104</v>
      </c>
      <c r="F29" s="6">
        <f>IF(B29&lt;='Вхідні дані'!$C$15,F28-C29:C30,0)</f>
        <v>884814.16666666721</v>
      </c>
      <c r="H29" s="3">
        <v>22</v>
      </c>
      <c r="I29" s="11">
        <f t="shared" ca="1" si="0"/>
        <v>45804</v>
      </c>
    </row>
    <row r="30" spans="2:9" x14ac:dyDescent="0.35">
      <c r="B30" s="5">
        <v>20</v>
      </c>
      <c r="C30" s="6">
        <f>IF(B30&lt;='Вхідні дані'!$C$15,'Вхідні дані'!$C$19/'Вхідні дані'!$C$15,0)</f>
        <v>21580.833333333332</v>
      </c>
      <c r="D30" s="6">
        <f ca="1">IF(B30&lt;='Вхідні дані'!$C$15,F29*'Вхідні дані'!$C$21/365*(I30-I29),0)</f>
        <v>6004.3731764840222</v>
      </c>
      <c r="E30" s="7">
        <f ca="1">IF(B30&lt;='Вхідні дані'!$C$15,C30+D30,0)</f>
        <v>27585.206509817355</v>
      </c>
      <c r="F30" s="6">
        <f>IF(B30&lt;='Вхідні дані'!$C$15,F29-C30:C31,0)</f>
        <v>863233.33333333384</v>
      </c>
      <c r="H30" s="3">
        <v>23</v>
      </c>
      <c r="I30" s="11">
        <f t="shared" ca="1" si="0"/>
        <v>45835</v>
      </c>
    </row>
    <row r="31" spans="2:9" x14ac:dyDescent="0.35">
      <c r="B31" s="5">
        <v>21</v>
      </c>
      <c r="C31" s="6">
        <f>IF(B31&lt;='Вхідні дані'!$C$15,'Вхідні дані'!$C$19/'Вхідні дані'!$C$15,0)</f>
        <v>21580.833333333332</v>
      </c>
      <c r="D31" s="6">
        <f ca="1">IF(B31&lt;='Вхідні дані'!$C$15,F30*'Вхідні дані'!$C$21/365*(I31-I30),0)</f>
        <v>5668.9597260273995</v>
      </c>
      <c r="E31" s="7">
        <f ca="1">IF(B31&lt;='Вхідні дані'!$C$15,C31+D31,0)</f>
        <v>27249.793059360731</v>
      </c>
      <c r="F31" s="6">
        <f>IF(B31&lt;='Вхідні дані'!$C$15,F30-C31:C32,0)</f>
        <v>841652.50000000047</v>
      </c>
      <c r="H31" s="3">
        <v>24</v>
      </c>
      <c r="I31" s="11">
        <f t="shared" ca="1" si="0"/>
        <v>45865</v>
      </c>
    </row>
    <row r="32" spans="2:9" x14ac:dyDescent="0.35">
      <c r="B32" s="5">
        <v>22</v>
      </c>
      <c r="C32" s="6">
        <f>IF(B32&lt;='Вхідні дані'!$C$15,'Вхідні дані'!$C$19/'Вхідні дані'!$C$15,0)</f>
        <v>21580.833333333332</v>
      </c>
      <c r="D32" s="6">
        <f ca="1">IF(B32&lt;='Вхідні дані'!$C$15,F31*'Вхідні дані'!$C$21/365*(I32-I31),0)</f>
        <v>5711.4769239726056</v>
      </c>
      <c r="E32" s="7">
        <f ca="1">IF(B32&lt;='Вхідні дані'!$C$15,C32+D32,0)</f>
        <v>27292.310257305937</v>
      </c>
      <c r="F32" s="6">
        <f>IF(B32&lt;='Вхідні дані'!$C$15,F31-C32:C33,0)</f>
        <v>820071.66666666709</v>
      </c>
      <c r="H32" s="3">
        <v>25</v>
      </c>
      <c r="I32" s="11">
        <f t="shared" ca="1" si="0"/>
        <v>45896</v>
      </c>
    </row>
    <row r="33" spans="2:9" x14ac:dyDescent="0.35">
      <c r="B33" s="5">
        <v>23</v>
      </c>
      <c r="C33" s="6">
        <f>IF(B33&lt;='Вхідні дані'!$C$15,'Вхідні дані'!$C$19/'Вхідні дані'!$C$15,0)</f>
        <v>21580.833333333332</v>
      </c>
      <c r="D33" s="6">
        <f ca="1">IF(B33&lt;='Вхідні дані'!$C$15,F32*'Вхідні дані'!$C$21/365*(I33-I32),0)</f>
        <v>5565.0287977168973</v>
      </c>
      <c r="E33" s="7">
        <f ca="1">IF(B33&lt;='Вхідні дані'!$C$15,C33+D33,0)</f>
        <v>27145.862131050228</v>
      </c>
      <c r="F33" s="6">
        <f>IF(B33&lt;='Вхідні дані'!$C$15,F32-C33:C34,0)</f>
        <v>798490.83333333372</v>
      </c>
      <c r="H33" s="3">
        <v>26</v>
      </c>
      <c r="I33" s="11">
        <f t="shared" ca="1" si="0"/>
        <v>45927</v>
      </c>
    </row>
    <row r="34" spans="2:9" x14ac:dyDescent="0.35">
      <c r="B34" s="5">
        <v>24</v>
      </c>
      <c r="C34" s="6">
        <f>IF(B34&lt;='Вхідні дані'!$C$15,'Вхідні дані'!$C$19/'Вхідні дані'!$C$15,0)</f>
        <v>21580.833333333332</v>
      </c>
      <c r="D34" s="6">
        <f ca="1">IF(B34&lt;='Вхідні дані'!$C$15,F33*'Вхідні дані'!$C$21/365*(I34-I33),0)</f>
        <v>5243.7877465753445</v>
      </c>
      <c r="E34" s="7">
        <f ca="1">IF(B34&lt;='Вхідні дані'!$C$15,C34+D34,0)</f>
        <v>26824.621079908677</v>
      </c>
      <c r="F34" s="6">
        <f>IF(B34&lt;='Вхідні дані'!$C$15,F33-C34:C35,0)</f>
        <v>776910.00000000035</v>
      </c>
      <c r="H34" s="3">
        <v>27</v>
      </c>
      <c r="I34" s="11">
        <f t="shared" ca="1" si="0"/>
        <v>45957</v>
      </c>
    </row>
    <row r="35" spans="2:9" x14ac:dyDescent="0.35">
      <c r="B35" s="5">
        <v>25</v>
      </c>
      <c r="C35" s="6">
        <f>IF(B35&lt;='Вхідні дані'!$C$15,'Вхідні дані'!$C$19/'Вхідні дані'!$C$15,0)</f>
        <v>21580.833333333332</v>
      </c>
      <c r="D35" s="6">
        <f ca="1">IF(B35&lt;='Вхідні дані'!$C$15,F34*'Вхідні дані'!$C$21/365*(I35-I34),0)</f>
        <v>5272.1325452054816</v>
      </c>
      <c r="E35" s="7">
        <f ca="1">IF(B35&lt;='Вхідні дані'!$C$15,C35+D35,0)</f>
        <v>26852.965878538813</v>
      </c>
      <c r="F35" s="6">
        <f>IF(B35&lt;='Вхідні дані'!$C$15,F34-C35:C36,0)</f>
        <v>755329.16666666698</v>
      </c>
      <c r="H35" s="3">
        <v>28</v>
      </c>
      <c r="I35" s="11">
        <f t="shared" ca="1" si="0"/>
        <v>45988</v>
      </c>
    </row>
    <row r="36" spans="2:9" x14ac:dyDescent="0.35">
      <c r="B36" s="5">
        <v>26</v>
      </c>
      <c r="C36" s="6">
        <f>IF(B36&lt;='Вхідні дані'!$C$15,'Вхідні дані'!$C$19/'Вхідні дані'!$C$15,0)</f>
        <v>21580.833333333332</v>
      </c>
      <c r="D36" s="6">
        <f ca="1">IF(B36&lt;='Вхідні дані'!$C$15,F35*'Вхідні дані'!$C$21/365*(I36-I35),0)</f>
        <v>4960.3397602739742</v>
      </c>
      <c r="E36" s="7">
        <f ca="1">IF(B36&lt;='Вхідні дані'!$C$15,C36+D36,0)</f>
        <v>26541.173093607307</v>
      </c>
      <c r="F36" s="6">
        <f>IF(B36&lt;='Вхідні дані'!$C$15,F35-C36:C37,0)</f>
        <v>733748.3333333336</v>
      </c>
      <c r="H36" s="3">
        <v>29</v>
      </c>
      <c r="I36" s="11">
        <f t="shared" ca="1" si="0"/>
        <v>46018</v>
      </c>
    </row>
    <row r="37" spans="2:9" x14ac:dyDescent="0.35">
      <c r="B37" s="5">
        <v>27</v>
      </c>
      <c r="C37" s="6">
        <f>IF(B37&lt;='Вхідні дані'!$C$15,'Вхідні дані'!$C$19/'Вхідні дані'!$C$15,0)</f>
        <v>21580.833333333332</v>
      </c>
      <c r="D37" s="6">
        <f ca="1">IF(B37&lt;='Вхідні дані'!$C$15,F36*'Вхідні дані'!$C$21/365*(I37-I36),0)</f>
        <v>4979.2362926940659</v>
      </c>
      <c r="E37" s="7">
        <f ca="1">IF(B37&lt;='Вхідні дані'!$C$15,C37+D37,0)</f>
        <v>26560.069626027398</v>
      </c>
      <c r="F37" s="6">
        <f>IF(B37&lt;='Вхідні дані'!$C$15,F36-C37:C38,0)</f>
        <v>712167.50000000023</v>
      </c>
      <c r="H37" s="3">
        <v>30</v>
      </c>
      <c r="I37" s="11">
        <f t="shared" ca="1" si="0"/>
        <v>46049</v>
      </c>
    </row>
    <row r="38" spans="2:9" x14ac:dyDescent="0.35">
      <c r="B38" s="5">
        <v>28</v>
      </c>
      <c r="C38" s="6">
        <f>IF(B38&lt;='Вхідні дані'!$C$15,'Вхідні дані'!$C$19/'Вхідні дані'!$C$15,0)</f>
        <v>21580.833333333332</v>
      </c>
      <c r="D38" s="6">
        <f ca="1">IF(B38&lt;='Вхідні дані'!$C$15,F37*'Вхідні дані'!$C$21/365*(I38-I37),0)</f>
        <v>4832.7881664383576</v>
      </c>
      <c r="E38" s="7">
        <f ca="1">IF(B38&lt;='Вхідні дані'!$C$15,C38+D38,0)</f>
        <v>26413.621499771689</v>
      </c>
      <c r="F38" s="6">
        <f>IF(B38&lt;='Вхідні дані'!$C$15,F37-C38:C39,0)</f>
        <v>690586.66666666686</v>
      </c>
      <c r="H38" s="3">
        <v>31</v>
      </c>
      <c r="I38" s="11">
        <f t="shared" ca="1" si="0"/>
        <v>46080</v>
      </c>
    </row>
    <row r="39" spans="2:9" x14ac:dyDescent="0.35">
      <c r="B39" s="5">
        <v>29</v>
      </c>
      <c r="C39" s="6">
        <f>IF(B39&lt;='Вхідні дані'!$C$15,'Вхідні дані'!$C$19/'Вхідні дані'!$C$15,0)</f>
        <v>21580.833333333332</v>
      </c>
      <c r="D39" s="6">
        <f ca="1">IF(B39&lt;='Вхідні дані'!$C$15,F38*'Вхідні дані'!$C$21/365*(I39-I38),0)</f>
        <v>4232.8232621004581</v>
      </c>
      <c r="E39" s="7">
        <f ca="1">IF(B39&lt;='Вхідні дані'!$C$15,C39+D39,0)</f>
        <v>25813.656595433789</v>
      </c>
      <c r="F39" s="6">
        <f>IF(B39&lt;='Вхідні дані'!$C$15,F38-C39:C40,0)</f>
        <v>669005.83333333349</v>
      </c>
      <c r="H39" s="3">
        <v>32</v>
      </c>
      <c r="I39" s="11">
        <f t="shared" ca="1" si="0"/>
        <v>46108</v>
      </c>
    </row>
    <row r="40" spans="2:9" x14ac:dyDescent="0.35">
      <c r="B40" s="5">
        <v>30</v>
      </c>
      <c r="C40" s="6">
        <f>IF(B40&lt;='Вхідні дані'!$C$15,'Вхідні дані'!$C$19/'Вхідні дані'!$C$15,0)</f>
        <v>21580.833333333332</v>
      </c>
      <c r="D40" s="6">
        <f ca="1">IF(B40&lt;='Вхідні дані'!$C$15,F39*'Вхідні дані'!$C$21/365*(I40-I39),0)</f>
        <v>4539.8919139269419</v>
      </c>
      <c r="E40" s="7">
        <f ca="1">IF(B40&lt;='Вхідні дані'!$C$15,C40+D40,0)</f>
        <v>26120.725247260274</v>
      </c>
      <c r="F40" s="6">
        <f>IF(B40&lt;='Вхідні дані'!$C$15,F39-C40:C41,0)</f>
        <v>647425.00000000012</v>
      </c>
      <c r="H40" s="3">
        <v>33</v>
      </c>
      <c r="I40" s="11">
        <f t="shared" ca="1" si="0"/>
        <v>46139</v>
      </c>
    </row>
    <row r="41" spans="2:9" x14ac:dyDescent="0.35">
      <c r="B41" s="5">
        <v>31</v>
      </c>
      <c r="C41" s="6">
        <f>IF(B41&lt;='Вхідні дані'!$C$15,'Вхідні дані'!$C$19/'Вхідні дані'!$C$15,0)</f>
        <v>21580.833333333332</v>
      </c>
      <c r="D41" s="6">
        <f ca="1">IF(B41&lt;='Вхідні дані'!$C$15,F40*'Вхідні дані'!$C$21/365*(I41-I40),0)</f>
        <v>4251.719794520548</v>
      </c>
      <c r="E41" s="7">
        <f ca="1">IF(B41&lt;='Вхідні дані'!$C$15,C41+D41,0)</f>
        <v>25832.55312785388</v>
      </c>
      <c r="F41" s="6">
        <f>IF(B41&lt;='Вхідні дані'!$C$15,F40-C41:C42,0)</f>
        <v>625844.16666666674</v>
      </c>
      <c r="H41" s="3">
        <v>34</v>
      </c>
      <c r="I41" s="11">
        <f t="shared" ca="1" si="0"/>
        <v>46169</v>
      </c>
    </row>
    <row r="42" spans="2:9" x14ac:dyDescent="0.35">
      <c r="B42" s="5">
        <v>32</v>
      </c>
      <c r="C42" s="6">
        <f>IF(B42&lt;='Вхідні дані'!$C$15,'Вхідні дані'!$C$19/'Вхідні дані'!$C$15,0)</f>
        <v>21580.833333333332</v>
      </c>
      <c r="D42" s="6">
        <f ca="1">IF(B42&lt;='Вхідні дані'!$C$15,F41*'Вхідні дані'!$C$21/365*(I42-I41),0)</f>
        <v>4246.9956614155262</v>
      </c>
      <c r="E42" s="7">
        <f ca="1">IF(B42&lt;='Вхідні дані'!$C$15,C42+D42,0)</f>
        <v>25827.828994748859</v>
      </c>
      <c r="F42" s="6">
        <f>IF(B42&lt;='Вхідні дані'!$C$15,F41-C42:C43,0)</f>
        <v>604263.33333333337</v>
      </c>
      <c r="H42" s="3">
        <v>35</v>
      </c>
      <c r="I42" s="11">
        <f t="shared" ca="1" si="0"/>
        <v>46200</v>
      </c>
    </row>
    <row r="43" spans="2:9" x14ac:dyDescent="0.35">
      <c r="B43" s="5">
        <v>33</v>
      </c>
      <c r="C43" s="6">
        <f>IF(B43&lt;='Вхідні дані'!$C$15,'Вхідні дані'!$C$19/'Вхідні дані'!$C$15,0)</f>
        <v>21580.833333333332</v>
      </c>
      <c r="D43" s="6">
        <f ca="1">IF(B43&lt;='Вхідні дані'!$C$15,F42*'Вхідні дані'!$C$21/365*(I43-I42),0)</f>
        <v>3968.2718082191786</v>
      </c>
      <c r="E43" s="7">
        <f ca="1">IF(B43&lt;='Вхідні дані'!$C$15,C43+D43,0)</f>
        <v>25549.105141552511</v>
      </c>
      <c r="F43" s="6">
        <f>IF(B43&lt;='Вхідні дані'!$C$15,F42-C43:C44,0)</f>
        <v>582682.5</v>
      </c>
      <c r="H43" s="3">
        <v>36</v>
      </c>
      <c r="I43" s="11">
        <f t="shared" ca="1" si="0"/>
        <v>46230</v>
      </c>
    </row>
    <row r="44" spans="2:9" x14ac:dyDescent="0.35">
      <c r="B44" s="5">
        <v>34</v>
      </c>
      <c r="C44" s="6">
        <f>IF(B44&lt;='Вхідні дані'!$C$15,'Вхідні дані'!$C$19/'Вхідні дані'!$C$15,0)</f>
        <v>21580.833333333332</v>
      </c>
      <c r="D44" s="6">
        <f ca="1">IF(B44&lt;='Вхідні дані'!$C$15,F43*'Вхідні дані'!$C$21/365*(I44-I43),0)</f>
        <v>3954.0994089041092</v>
      </c>
      <c r="E44" s="7">
        <f ca="1">IF(B44&lt;='Вхідні дані'!$C$15,C44+D44,0)</f>
        <v>25534.932742237441</v>
      </c>
      <c r="F44" s="6">
        <f>IF(B44&lt;='Вхідні дані'!$C$15,F43-C44:C45,0)</f>
        <v>561101.66666666663</v>
      </c>
      <c r="H44" s="3">
        <v>37</v>
      </c>
      <c r="I44" s="11">
        <f t="shared" ca="1" si="0"/>
        <v>46261</v>
      </c>
    </row>
    <row r="45" spans="2:9" x14ac:dyDescent="0.35">
      <c r="B45" s="5">
        <v>35</v>
      </c>
      <c r="C45" s="6">
        <f>IF(B45&lt;='Вхідні дані'!$C$15,'Вхідні дані'!$C$19/'Вхідні дані'!$C$15,0)</f>
        <v>21580.833333333332</v>
      </c>
      <c r="D45" s="6">
        <f ca="1">IF(B45&lt;='Вхідні дані'!$C$15,F44*'Вхідні дані'!$C$21/365*(I45-I44),0)</f>
        <v>3807.6512826484018</v>
      </c>
      <c r="E45" s="7">
        <f ca="1">IF(B45&lt;='Вхідні дані'!$C$15,C45+D45,0)</f>
        <v>25388.484615981735</v>
      </c>
      <c r="F45" s="6">
        <f>IF(B45&lt;='Вхідні дані'!$C$15,F44-C45:C46,0)</f>
        <v>539520.83333333326</v>
      </c>
      <c r="H45" s="3">
        <v>38</v>
      </c>
      <c r="I45" s="11">
        <f t="shared" ca="1" si="0"/>
        <v>46292</v>
      </c>
    </row>
    <row r="46" spans="2:9" x14ac:dyDescent="0.35">
      <c r="B46" s="5">
        <v>36</v>
      </c>
      <c r="C46" s="6">
        <f>IF(B46&lt;='Вхідні дані'!$C$15,'Вхідні дані'!$C$19/'Вхідні дані'!$C$15,0)</f>
        <v>21580.833333333332</v>
      </c>
      <c r="D46" s="6">
        <f ca="1">IF(B46&lt;='Вхідні дані'!$C$15,F45*'Вхідні дані'!$C$21/365*(I46-I45),0)</f>
        <v>3543.0998287671227</v>
      </c>
      <c r="E46" s="7">
        <f ca="1">IF(B46&lt;='Вхідні дані'!$C$15,C46+D46,0)</f>
        <v>25123.933162100453</v>
      </c>
      <c r="F46" s="6">
        <f>IF(B46&lt;='Вхідні дані'!$C$15,F45-C46:C47,0)</f>
        <v>517939.99999999994</v>
      </c>
      <c r="H46" s="3">
        <v>39</v>
      </c>
      <c r="I46" s="11">
        <f t="shared" ca="1" si="0"/>
        <v>46322</v>
      </c>
    </row>
    <row r="47" spans="2:9" x14ac:dyDescent="0.35">
      <c r="B47" s="5">
        <v>37</v>
      </c>
      <c r="C47" s="6">
        <f>IF(B47&lt;='Вхідні дані'!$C$15,'Вхідні дані'!$C$19/'Вхідні дані'!$C$15,0)</f>
        <v>21580.833333333332</v>
      </c>
      <c r="D47" s="6">
        <f ca="1">IF(B47&lt;='Вхідні дані'!$C$15,F46*'Вхідні дані'!$C$21/365*(I47-I46),0)</f>
        <v>3514.7550301369856</v>
      </c>
      <c r="E47" s="7">
        <f ca="1">IF(B47&lt;='Вхідні дані'!$C$15,C47+D47,0)</f>
        <v>25095.588363470317</v>
      </c>
      <c r="F47" s="6">
        <f>IF(B47&lt;='Вхідні дані'!$C$15,F46-C47:C48,0)</f>
        <v>496359.16666666663</v>
      </c>
      <c r="H47" s="3">
        <v>40</v>
      </c>
      <c r="I47" s="11">
        <f t="shared" ca="1" si="0"/>
        <v>46353</v>
      </c>
    </row>
    <row r="48" spans="2:9" x14ac:dyDescent="0.35">
      <c r="B48" s="5">
        <v>38</v>
      </c>
      <c r="C48" s="6">
        <f>IF(B48&lt;='Вхідні дані'!$C$15,'Вхідні дані'!$C$19/'Вхідні дані'!$C$15,0)</f>
        <v>21580.833333333332</v>
      </c>
      <c r="D48" s="6">
        <f ca="1">IF(B48&lt;='Вхідні дані'!$C$15,F47*'Вхідні дані'!$C$21/365*(I48-I47),0)</f>
        <v>3259.6518424657534</v>
      </c>
      <c r="E48" s="7">
        <f ca="1">IF(B48&lt;='Вхідні дані'!$C$15,C48+D48,0)</f>
        <v>24840.485175799084</v>
      </c>
      <c r="F48" s="6">
        <f>IF(B48&lt;='Вхідні дані'!$C$15,F47-C48:C49,0)</f>
        <v>474778.33333333331</v>
      </c>
      <c r="H48" s="3">
        <v>41</v>
      </c>
      <c r="I48" s="11">
        <f t="shared" ca="1" si="0"/>
        <v>46383</v>
      </c>
    </row>
    <row r="49" spans="2:9" x14ac:dyDescent="0.35">
      <c r="B49" s="5">
        <v>39</v>
      </c>
      <c r="C49" s="6">
        <f>IF(B49&lt;='Вхідні дані'!$C$15,'Вхідні дані'!$C$19/'Вхідні дані'!$C$15,0)</f>
        <v>21580.833333333332</v>
      </c>
      <c r="D49" s="6">
        <f ca="1">IF(B49&lt;='Вхідні дані'!$C$15,F48*'Вхідні дані'!$C$21/365*(I49-I48),0)</f>
        <v>3221.8587776255708</v>
      </c>
      <c r="E49" s="7">
        <f ca="1">IF(B49&lt;='Вхідні дані'!$C$15,C49+D49,0)</f>
        <v>24802.692110958902</v>
      </c>
      <c r="F49" s="6">
        <f>IF(B49&lt;='Вхідні дані'!$C$15,F48-C49:C50,0)</f>
        <v>453197.5</v>
      </c>
      <c r="H49" s="3">
        <v>42</v>
      </c>
      <c r="I49" s="11">
        <f t="shared" ca="1" si="0"/>
        <v>46414</v>
      </c>
    </row>
    <row r="50" spans="2:9" x14ac:dyDescent="0.35">
      <c r="B50" s="5">
        <v>40</v>
      </c>
      <c r="C50" s="6">
        <f>IF(B50&lt;='Вхідні дані'!$C$15,'Вхідні дані'!$C$19/'Вхідні дані'!$C$15,0)</f>
        <v>21580.833333333332</v>
      </c>
      <c r="D50" s="6">
        <f ca="1">IF(B50&lt;='Вхідні дані'!$C$15,F49*'Вхідні дані'!$C$21/365*(I50-I49),0)</f>
        <v>3075.410651369863</v>
      </c>
      <c r="E50" s="7">
        <f ca="1">IF(B50&lt;='Вхідні дані'!$C$15,C50+D50,0)</f>
        <v>24656.243984703196</v>
      </c>
      <c r="F50" s="6">
        <f>IF(B50&lt;='Вхідні дані'!$C$15,F49-C50:C51,0)</f>
        <v>431616.66666666669</v>
      </c>
      <c r="H50" s="3">
        <v>43</v>
      </c>
      <c r="I50" s="11">
        <f t="shared" ca="1" si="0"/>
        <v>46445</v>
      </c>
    </row>
    <row r="51" spans="2:9" x14ac:dyDescent="0.35">
      <c r="B51" s="5">
        <v>41</v>
      </c>
      <c r="C51" s="6">
        <f>IF(B51&lt;='Вхідні дані'!$C$15,'Вхідні дані'!$C$19/'Вхідні дані'!$C$15,0)</f>
        <v>21580.833333333332</v>
      </c>
      <c r="D51" s="6">
        <f ca="1">IF(B51&lt;='Вхідні дані'!$C$15,F50*'Вхідні дані'!$C$21/365*(I51-I50),0)</f>
        <v>2645.5145388127853</v>
      </c>
      <c r="E51" s="7">
        <f ca="1">IF(B51&lt;='Вхідні дані'!$C$15,C51+D51,0)</f>
        <v>24226.347872146118</v>
      </c>
      <c r="F51" s="6">
        <f>IF(B51&lt;='Вхідні дані'!$C$15,F50-C51:C52,0)</f>
        <v>410035.83333333337</v>
      </c>
      <c r="H51" s="3">
        <v>44</v>
      </c>
      <c r="I51" s="11">
        <f t="shared" ca="1" si="0"/>
        <v>46473</v>
      </c>
    </row>
    <row r="52" spans="2:9" x14ac:dyDescent="0.35">
      <c r="B52" s="5">
        <v>42</v>
      </c>
      <c r="C52" s="6">
        <f>IF(B52&lt;='Вхідні дані'!$C$15,'Вхідні дані'!$C$19/'Вхідні дані'!$C$15,0)</f>
        <v>21580.833333333332</v>
      </c>
      <c r="D52" s="6">
        <f ca="1">IF(B52&lt;='Вхідні дані'!$C$15,F51*'Вхідні дані'!$C$21/365*(I52-I51),0)</f>
        <v>2782.5143988584482</v>
      </c>
      <c r="E52" s="7">
        <f ca="1">IF(B52&lt;='Вхідні дані'!$C$15,C52+D52,0)</f>
        <v>24363.347732191782</v>
      </c>
      <c r="F52" s="6">
        <f>IF(B52&lt;='Вхідні дані'!$C$15,F51-C52:C53,0)</f>
        <v>388455.00000000006</v>
      </c>
      <c r="H52" s="3">
        <v>45</v>
      </c>
      <c r="I52" s="11">
        <f t="shared" ca="1" si="0"/>
        <v>46504</v>
      </c>
    </row>
    <row r="53" spans="2:9" x14ac:dyDescent="0.35">
      <c r="B53" s="5">
        <v>43</v>
      </c>
      <c r="C53" s="6">
        <f>IF(B53&lt;='Вхідні дані'!$C$15,'Вхідні дані'!$C$19/'Вхідні дані'!$C$15,0)</f>
        <v>21580.833333333332</v>
      </c>
      <c r="D53" s="6">
        <f ca="1">IF(B53&lt;='Вхідні дані'!$C$15,F52*'Вхідні дані'!$C$21/365*(I53-I52),0)</f>
        <v>2551.0318767123294</v>
      </c>
      <c r="E53" s="7">
        <f ca="1">IF(B53&lt;='Вхідні дані'!$C$15,C53+D53,0)</f>
        <v>24131.86521004566</v>
      </c>
      <c r="F53" s="6">
        <f>IF(B53&lt;='Вхідні дані'!$C$15,F52-C53:C54,0)</f>
        <v>366874.16666666674</v>
      </c>
      <c r="H53" s="3">
        <v>46</v>
      </c>
      <c r="I53" s="11">
        <f t="shared" ca="1" si="0"/>
        <v>46534</v>
      </c>
    </row>
    <row r="54" spans="2:9" x14ac:dyDescent="0.35">
      <c r="B54" s="5">
        <v>44</v>
      </c>
      <c r="C54" s="6">
        <f>IF(B54&lt;='Вхідні дані'!$C$15,'Вхідні дані'!$C$19/'Вхідні дані'!$C$15,0)</f>
        <v>21580.833333333332</v>
      </c>
      <c r="D54" s="6">
        <f ca="1">IF(B54&lt;='Вхідні дані'!$C$15,F53*'Вхідні дані'!$C$21/365*(I54-I53),0)</f>
        <v>2489.6181463470325</v>
      </c>
      <c r="E54" s="7">
        <f ca="1">IF(B54&lt;='Вхідні дані'!$C$15,C54+D54,0)</f>
        <v>24070.451479680363</v>
      </c>
      <c r="F54" s="6">
        <f>IF(B54&lt;='Вхідні дані'!$C$15,F53-C54:C55,0)</f>
        <v>345293.33333333343</v>
      </c>
      <c r="H54" s="3">
        <v>47</v>
      </c>
      <c r="I54" s="11">
        <f t="shared" ca="1" si="0"/>
        <v>46565</v>
      </c>
    </row>
    <row r="55" spans="2:9" x14ac:dyDescent="0.35">
      <c r="B55" s="5">
        <v>45</v>
      </c>
      <c r="C55" s="6">
        <f>IF(B55&lt;='Вхідні дані'!$C$15,'Вхідні дані'!$C$19/'Вхідні дані'!$C$15,0)</f>
        <v>21580.833333333332</v>
      </c>
      <c r="D55" s="6">
        <f ca="1">IF(B55&lt;='Вхідні дані'!$C$15,F54*'Вхідні дані'!$C$21/365*(I55-I54),0)</f>
        <v>2267.5838904109596</v>
      </c>
      <c r="E55" s="7">
        <f ca="1">IF(B55&lt;='Вхідні дані'!$C$15,C55+D55,0)</f>
        <v>23848.417223744291</v>
      </c>
      <c r="F55" s="6">
        <f>IF(B55&lt;='Вхідні дані'!$C$15,F54-C55:C56,0)</f>
        <v>323712.50000000012</v>
      </c>
      <c r="H55" s="3">
        <v>48</v>
      </c>
      <c r="I55" s="11">
        <f t="shared" ca="1" si="0"/>
        <v>46595</v>
      </c>
    </row>
    <row r="56" spans="2:9" x14ac:dyDescent="0.35">
      <c r="B56" s="5">
        <v>46</v>
      </c>
      <c r="C56" s="6">
        <f>IF(B56&lt;='Вхідні дані'!$C$15,'Вхідні дані'!$C$19/'Вхідні дані'!$C$15,0)</f>
        <v>21580.833333333332</v>
      </c>
      <c r="D56" s="6">
        <f ca="1">IF(B56&lt;='Вхідні дані'!$C$15,F55*'Вхідні дані'!$C$21/365*(I56-I55),0)</f>
        <v>2196.7218938356173</v>
      </c>
      <c r="E56" s="7">
        <f ca="1">IF(B56&lt;='Вхідні дані'!$C$15,C56+D56,0)</f>
        <v>23777.555227168948</v>
      </c>
      <c r="F56" s="6">
        <f>IF(B56&lt;='Вхідні дані'!$C$15,F55-C56:C57,0)</f>
        <v>302131.6666666668</v>
      </c>
      <c r="H56" s="3">
        <v>49</v>
      </c>
      <c r="I56" s="11">
        <f t="shared" ca="1" si="0"/>
        <v>46626</v>
      </c>
    </row>
    <row r="57" spans="2:9" x14ac:dyDescent="0.35">
      <c r="B57" s="5">
        <v>47</v>
      </c>
      <c r="C57" s="6">
        <f>IF(B57&lt;='Вхідні дані'!$C$15,'Вхідні дані'!$C$19/'Вхідні дані'!$C$15,0)</f>
        <v>21580.833333333332</v>
      </c>
      <c r="D57" s="6">
        <f ca="1">IF(B57&lt;='Вхідні дані'!$C$15,F56*'Вхідні дані'!$C$21/365*(I57-I56),0)</f>
        <v>2050.2737675799094</v>
      </c>
      <c r="E57" s="7">
        <f ca="1">IF(B57&lt;='Вхідні дані'!$C$15,C57+D57,0)</f>
        <v>23631.107100913243</v>
      </c>
      <c r="F57" s="6">
        <f>IF(B57&lt;='Вхідні дані'!$C$15,F56-C57:C58,0)</f>
        <v>280550.83333333349</v>
      </c>
      <c r="H57" s="3">
        <v>50</v>
      </c>
      <c r="I57" s="11">
        <f t="shared" ca="1" si="0"/>
        <v>46657</v>
      </c>
    </row>
    <row r="58" spans="2:9" x14ac:dyDescent="0.35">
      <c r="B58" s="5">
        <v>48</v>
      </c>
      <c r="C58" s="6">
        <f>IF(B58&lt;='Вхідні дані'!$C$15,'Вхідні дані'!$C$19/'Вхідні дані'!$C$15,0)</f>
        <v>21580.833333333332</v>
      </c>
      <c r="D58" s="6">
        <f ca="1">IF(B58&lt;='Вхідні дані'!$C$15,F57*'Вхідні дані'!$C$21/365*(I58-I57),0)</f>
        <v>1842.4119109589051</v>
      </c>
      <c r="E58" s="7">
        <f ca="1">IF(B58&lt;='Вхідні дані'!$C$15,C58+D58,0)</f>
        <v>23423.245244292237</v>
      </c>
      <c r="F58" s="6">
        <f>IF(B58&lt;='Вхідні дані'!$C$15,F57-C58:C59,0)</f>
        <v>258970.00000000015</v>
      </c>
      <c r="H58" s="3">
        <v>51</v>
      </c>
      <c r="I58" s="11">
        <f t="shared" ca="1" si="0"/>
        <v>46687</v>
      </c>
    </row>
    <row r="59" spans="2:9" x14ac:dyDescent="0.35">
      <c r="B59" s="5">
        <v>49</v>
      </c>
      <c r="C59" s="6">
        <f>IF(B59&lt;='Вхідні дані'!$C$15,'Вхідні дані'!$C$19/'Вхідні дані'!$C$15,0)</f>
        <v>21580.833333333332</v>
      </c>
      <c r="D59" s="6">
        <f ca="1">IF(B59&lt;='Вхідні дані'!$C$15,F58*'Вхідні дані'!$C$21/365*(I59-I58),0)</f>
        <v>1757.3775150684942</v>
      </c>
      <c r="E59" s="7">
        <f ca="1">IF(B59&lt;='Вхідні дані'!$C$15,C59+D59,0)</f>
        <v>23338.210848401824</v>
      </c>
      <c r="F59" s="6">
        <f>IF(B59&lt;='Вхідні дані'!$C$15,F58-C59:C60,0)</f>
        <v>237389.1666666668</v>
      </c>
      <c r="H59" s="3">
        <v>52</v>
      </c>
      <c r="I59" s="11">
        <f t="shared" ca="1" si="0"/>
        <v>46718</v>
      </c>
    </row>
    <row r="60" spans="2:9" x14ac:dyDescent="0.35">
      <c r="B60" s="5">
        <v>50</v>
      </c>
      <c r="C60" s="6">
        <f>IF(B60&lt;='Вхідні дані'!$C$15,'Вхідні дані'!$C$19/'Вхідні дані'!$C$15,0)</f>
        <v>21580.833333333332</v>
      </c>
      <c r="D60" s="6">
        <f ca="1">IF(B60&lt;='Вхідні дані'!$C$15,F59*'Вхідні дані'!$C$21/365*(I60-I59),0)</f>
        <v>1558.963924657535</v>
      </c>
      <c r="E60" s="7">
        <f ca="1">IF(B60&lt;='Вхідні дані'!$C$15,C60+D60,0)</f>
        <v>23139.797257990867</v>
      </c>
      <c r="F60" s="6">
        <f>IF(B60&lt;='Вхідні дані'!$C$15,F59-C60:C61,0)</f>
        <v>215808.33333333346</v>
      </c>
      <c r="H60" s="3">
        <v>53</v>
      </c>
      <c r="I60" s="11">
        <f t="shared" ca="1" si="0"/>
        <v>46748</v>
      </c>
    </row>
    <row r="61" spans="2:9" x14ac:dyDescent="0.35">
      <c r="B61" s="5">
        <v>51</v>
      </c>
      <c r="C61" s="6">
        <f>IF(B61&lt;='Вхідні дані'!$C$15,'Вхідні дані'!$C$19/'Вхідні дані'!$C$15,0)</f>
        <v>21580.833333333332</v>
      </c>
      <c r="D61" s="6">
        <f ca="1">IF(B61&lt;='Вхідні дані'!$C$15,F60*'Вхідні дані'!$C$21/365*(I61-I60),0)</f>
        <v>1464.4812625570783</v>
      </c>
      <c r="E61" s="7">
        <f ca="1">IF(B61&lt;='Вхідні дані'!$C$15,C61+D61,0)</f>
        <v>23045.31459589041</v>
      </c>
      <c r="F61" s="6">
        <f>IF(B61&lt;='Вхідні дані'!$C$15,F60-C61:C62,0)</f>
        <v>194227.50000000012</v>
      </c>
      <c r="H61" s="3">
        <v>54</v>
      </c>
      <c r="I61" s="11">
        <f t="shared" ca="1" si="0"/>
        <v>46779</v>
      </c>
    </row>
    <row r="62" spans="2:9" x14ac:dyDescent="0.35">
      <c r="B62" s="5">
        <v>52</v>
      </c>
      <c r="C62" s="6">
        <f>IF(B62&lt;='Вхідні дані'!$C$15,'Вхідні дані'!$C$19/'Вхідні дані'!$C$15,0)</f>
        <v>21580.833333333332</v>
      </c>
      <c r="D62" s="6">
        <f ca="1">IF(B62&lt;='Вхідні дані'!$C$15,F61*'Вхідні дані'!$C$21/365*(I62-I61),0)</f>
        <v>1318.0331363013706</v>
      </c>
      <c r="E62" s="7">
        <f ca="1">IF(B62&lt;='Вхідні дані'!$C$15,C62+D62,0)</f>
        <v>22898.866469634704</v>
      </c>
      <c r="F62" s="6">
        <f>IF(B62&lt;='Вхідні дані'!$C$15,F61-C62:C63,0)</f>
        <v>172646.66666666677</v>
      </c>
      <c r="H62" s="3">
        <v>55</v>
      </c>
      <c r="I62" s="11">
        <f t="shared" ca="1" si="0"/>
        <v>46810</v>
      </c>
    </row>
    <row r="63" spans="2:9" x14ac:dyDescent="0.35">
      <c r="B63" s="5">
        <v>53</v>
      </c>
      <c r="C63" s="6">
        <f>IF(B63&lt;='Вхідні дані'!$C$15,'Вхідні дані'!$C$19/'Вхідні дані'!$C$15,0)</f>
        <v>21580.833333333332</v>
      </c>
      <c r="D63" s="6">
        <f ca="1">IF(B63&lt;='Вхідні дані'!$C$15,F62*'Вхідні дані'!$C$21/365*(I63-I62),0)</f>
        <v>1095.9988803652975</v>
      </c>
      <c r="E63" s="7">
        <f ca="1">IF(B63&lt;='Вхідні дані'!$C$15,C63+D63,0)</f>
        <v>22676.832213698628</v>
      </c>
      <c r="F63" s="6">
        <f>IF(B63&lt;='Вхідні дані'!$C$15,F62-C63:C64,0)</f>
        <v>151065.83333333343</v>
      </c>
      <c r="H63" s="3">
        <v>56</v>
      </c>
      <c r="I63" s="11">
        <f t="shared" ca="1" si="0"/>
        <v>46839</v>
      </c>
    </row>
    <row r="64" spans="2:9" x14ac:dyDescent="0.35">
      <c r="B64" s="5">
        <v>54</v>
      </c>
      <c r="C64" s="6">
        <f>IF(B64&lt;='Вхідні дані'!$C$15,'Вхідні дані'!$C$19/'Вхідні дані'!$C$15,0)</f>
        <v>21580.833333333332</v>
      </c>
      <c r="D64" s="6">
        <f ca="1">IF(B64&lt;='Вхідні дані'!$C$15,F63*'Вхідні дані'!$C$21/365*(I64-I63),0)</f>
        <v>1025.1368837899549</v>
      </c>
      <c r="E64" s="7">
        <f ca="1">IF(B64&lt;='Вхідні дані'!$C$15,C64+D64,0)</f>
        <v>22605.970217123286</v>
      </c>
      <c r="F64" s="6">
        <f>IF(B64&lt;='Вхідні дані'!$C$15,F63-C64:C65,0)</f>
        <v>129485.0000000001</v>
      </c>
      <c r="H64" s="3">
        <v>57</v>
      </c>
      <c r="I64" s="11">
        <f t="shared" ca="1" si="0"/>
        <v>46870</v>
      </c>
    </row>
    <row r="65" spans="2:9" x14ac:dyDescent="0.35">
      <c r="B65" s="5">
        <v>55</v>
      </c>
      <c r="C65" s="6">
        <f>IF(B65&lt;='Вхідні дані'!$C$15,'Вхідні дані'!$C$19/'Вхідні дані'!$C$15,0)</f>
        <v>21580.833333333332</v>
      </c>
      <c r="D65" s="6">
        <f ca="1">IF(B65&lt;='Вхідні дані'!$C$15,F64*'Вхідні дані'!$C$21/365*(I65-I64),0)</f>
        <v>850.3439589041102</v>
      </c>
      <c r="E65" s="7">
        <f ca="1">IF(B65&lt;='Вхідні дані'!$C$15,C65+D65,0)</f>
        <v>22431.177292237444</v>
      </c>
      <c r="F65" s="6">
        <f>IF(B65&lt;='Вхідні дані'!$C$15,F64-C65:C66,0)</f>
        <v>107904.16666666677</v>
      </c>
      <c r="H65" s="3">
        <v>58</v>
      </c>
      <c r="I65" s="11">
        <f t="shared" ca="1" si="0"/>
        <v>46900</v>
      </c>
    </row>
    <row r="66" spans="2:9" x14ac:dyDescent="0.35">
      <c r="B66" s="5">
        <v>56</v>
      </c>
      <c r="C66" s="6">
        <f>IF(B66&lt;='Вхідні дані'!$C$15,'Вхідні дані'!$C$19/'Вхідні дані'!$C$15,0)</f>
        <v>21580.833333333332</v>
      </c>
      <c r="D66" s="6">
        <f ca="1">IF(B66&lt;='Вхідні дані'!$C$15,F65*'Вхідні дані'!$C$21/365*(I66-I65),0)</f>
        <v>732.24063127853947</v>
      </c>
      <c r="E66" s="7">
        <f ca="1">IF(B66&lt;='Вхідні дані'!$C$15,C66+D66,0)</f>
        <v>22313.073964611871</v>
      </c>
      <c r="F66" s="6">
        <f>IF(B66&lt;='Вхідні дані'!$C$15,F65-C66:C67,0)</f>
        <v>86323.333333333445</v>
      </c>
      <c r="H66" s="3">
        <v>59</v>
      </c>
      <c r="I66" s="11">
        <f t="shared" ca="1" si="0"/>
        <v>46931</v>
      </c>
    </row>
    <row r="67" spans="2:9" x14ac:dyDescent="0.35">
      <c r="B67" s="5">
        <v>57</v>
      </c>
      <c r="C67" s="6">
        <f>IF(B67&lt;='Вхідні дані'!$C$15,'Вхідні дані'!$C$19/'Вхідні дані'!$C$15,0)</f>
        <v>21580.833333333332</v>
      </c>
      <c r="D67" s="6">
        <f ca="1">IF(B67&lt;='Вхідні дані'!$C$15,F66*'Вхідні дані'!$C$21/365*(I67-I66),0)</f>
        <v>566.89597260274036</v>
      </c>
      <c r="E67" s="7">
        <f ca="1">IF(B67&lt;='Вхідні дані'!$C$15,C67+D67,0)</f>
        <v>22147.729305936071</v>
      </c>
      <c r="F67" s="6">
        <f>IF(B67&lt;='Вхідні дані'!$C$15,F66-C67:C68,0)</f>
        <v>64742.500000000116</v>
      </c>
      <c r="H67" s="3">
        <v>60</v>
      </c>
      <c r="I67" s="11">
        <f t="shared" ca="1" si="0"/>
        <v>46961</v>
      </c>
    </row>
    <row r="68" spans="2:9" x14ac:dyDescent="0.35">
      <c r="B68" s="5">
        <v>58</v>
      </c>
      <c r="C68" s="6">
        <f>IF(B68&lt;='Вхідні дані'!$C$15,'Вхідні дані'!$C$19/'Вхідні дані'!$C$15,0)</f>
        <v>21580.833333333332</v>
      </c>
      <c r="D68" s="6">
        <f ca="1">IF(B68&lt;='Вхідні дані'!$C$15,F67*'Вхідні дані'!$C$21/365*(I68-I67),0)</f>
        <v>439.34437876712411</v>
      </c>
      <c r="E68" s="7">
        <f ca="1">IF(B68&lt;='Вхідні дані'!$C$15,C68+D68,0)</f>
        <v>22020.177712100456</v>
      </c>
      <c r="F68" s="6">
        <f>IF(B68&lt;='Вхідні дані'!$C$15,F67-C68:C69,0)</f>
        <v>43161.666666666788</v>
      </c>
      <c r="H68" s="3">
        <v>61</v>
      </c>
      <c r="I68" s="11">
        <f t="shared" ca="1" si="0"/>
        <v>46992</v>
      </c>
    </row>
    <row r="69" spans="2:9" x14ac:dyDescent="0.35">
      <c r="B69" s="5">
        <v>59</v>
      </c>
      <c r="C69" s="6">
        <f>IF(B69&lt;='Вхідні дані'!$C$15,'Вхідні дані'!$C$19/'Вхідні дані'!$C$15,0)</f>
        <v>21580.833333333332</v>
      </c>
      <c r="D69" s="6">
        <f ca="1">IF(B69&lt;='Вхідні дані'!$C$15,F68*'Вхідні дані'!$C$21/365*(I69-I68),0)</f>
        <v>292.89625251141638</v>
      </c>
      <c r="E69" s="7">
        <f ca="1">IF(B69&lt;='Вхідні дані'!$C$15,C69+D69,0)</f>
        <v>21873.729585844747</v>
      </c>
      <c r="F69" s="6">
        <f>IF(B69&lt;='Вхідні дані'!$C$15,F68-C69:C70,0)</f>
        <v>21580.833333333456</v>
      </c>
      <c r="H69" s="3">
        <v>62</v>
      </c>
      <c r="I69" s="11">
        <f t="shared" ca="1" si="0"/>
        <v>47023</v>
      </c>
    </row>
    <row r="70" spans="2:9" x14ac:dyDescent="0.35">
      <c r="B70" s="5">
        <v>60</v>
      </c>
      <c r="C70" s="6">
        <f>IF(B70&lt;='Вхідні дані'!$C$15,'Вхідні дані'!$C$19/'Вхідні дані'!$C$15,0)</f>
        <v>21580.833333333332</v>
      </c>
      <c r="D70" s="6">
        <f ca="1">IF(B70&lt;='Вхідні дані'!$C$15,F69*'Вхідні дані'!$C$21/365*(I70-I69),0)</f>
        <v>141.72399315068571</v>
      </c>
      <c r="E70" s="7">
        <f ca="1">IF(B70&lt;='Вхідні дані'!$C$15,C70+D70,0)</f>
        <v>21722.557326484017</v>
      </c>
      <c r="F70" s="6">
        <f>IF(B70&lt;='Вхідні дані'!$C$15,F69-C70:C71,0)</f>
        <v>1.2369127944111824E-10</v>
      </c>
      <c r="H70" s="3">
        <v>63</v>
      </c>
      <c r="I70" s="11">
        <f t="shared" ca="1" si="0"/>
        <v>47053</v>
      </c>
    </row>
    <row r="71" spans="2:9" x14ac:dyDescent="0.35">
      <c r="B71" s="5">
        <v>61</v>
      </c>
      <c r="C71" s="6">
        <f>IF(B71&lt;='Вхідні дані'!$C$15,'Вхідні дані'!$C$19/'Вхідні дані'!$C$15,0)</f>
        <v>0</v>
      </c>
      <c r="D71" s="6">
        <f>IF(B71&lt;='Вхідні дані'!$C$15,F70*'Вхідні дані'!$C$21/365*(I71-I70),0)</f>
        <v>0</v>
      </c>
      <c r="E71" s="7">
        <f>IF(B71&lt;='Вхідні дані'!$C$15,C71+D71,0)</f>
        <v>0</v>
      </c>
      <c r="F71" s="6">
        <f>IF(B71&lt;='Вхідні дані'!$C$15,F70-C71:C72,0)</f>
        <v>0</v>
      </c>
      <c r="H71" s="3">
        <v>64</v>
      </c>
      <c r="I71" s="11">
        <f t="shared" ca="1" si="0"/>
        <v>47084</v>
      </c>
    </row>
    <row r="72" spans="2:9" x14ac:dyDescent="0.35">
      <c r="B72" s="5">
        <v>62</v>
      </c>
      <c r="C72" s="6">
        <f>IF(B72&lt;='Вхідні дані'!$C$15,'Вхідні дані'!$C$19/'Вхідні дані'!$C$15,0)</f>
        <v>0</v>
      </c>
      <c r="D72" s="6">
        <f>IF(B72&lt;='Вхідні дані'!$C$15,F71*'Вхідні дані'!$C$21/365*(I72-I71),0)</f>
        <v>0</v>
      </c>
      <c r="E72" s="7">
        <f>IF(B72&lt;='Вхідні дані'!$C$15,C72+D72,0)</f>
        <v>0</v>
      </c>
      <c r="F72" s="6">
        <f>IF(B72&lt;='Вхідні дані'!$C$15,F71-C72:C73,0)</f>
        <v>0</v>
      </c>
      <c r="H72" s="3">
        <v>65</v>
      </c>
      <c r="I72" s="11">
        <f t="shared" ca="1" si="0"/>
        <v>47114</v>
      </c>
    </row>
    <row r="73" spans="2:9" x14ac:dyDescent="0.35">
      <c r="B73" s="5">
        <v>63</v>
      </c>
      <c r="C73" s="6">
        <f>IF(B73&lt;='Вхідні дані'!$C$15,'Вхідні дані'!$C$19/'Вхідні дані'!$C$15,0)</f>
        <v>0</v>
      </c>
      <c r="D73" s="6">
        <f>IF(B73&lt;='Вхідні дані'!$C$15,F72*'Вхідні дані'!$C$21/365*(I73-I72),0)</f>
        <v>0</v>
      </c>
      <c r="E73" s="7">
        <f>IF(B73&lt;='Вхідні дані'!$C$15,C73+D73,0)</f>
        <v>0</v>
      </c>
      <c r="F73" s="6">
        <f>IF(B73&lt;='Вхідні дані'!$C$15,F72-C73:C74,0)</f>
        <v>0</v>
      </c>
      <c r="H73" s="3">
        <v>66</v>
      </c>
      <c r="I73" s="11">
        <f t="shared" ca="1" si="0"/>
        <v>47145</v>
      </c>
    </row>
    <row r="74" spans="2:9" x14ac:dyDescent="0.35">
      <c r="B74" s="5">
        <v>64</v>
      </c>
      <c r="C74" s="6">
        <f>IF(B74&lt;='Вхідні дані'!$C$15,'Вхідні дані'!$C$19/'Вхідні дані'!$C$15,0)</f>
        <v>0</v>
      </c>
      <c r="D74" s="6">
        <f>IF(B74&lt;='Вхідні дані'!$C$15,F73*'Вхідні дані'!$C$21/365*(I74-I73),0)</f>
        <v>0</v>
      </c>
      <c r="E74" s="7">
        <f>IF(B74&lt;='Вхідні дані'!$C$15,C74+D74,0)</f>
        <v>0</v>
      </c>
      <c r="F74" s="6">
        <f>IF(B74&lt;='Вхідні дані'!$C$15,F73-C74:C75,0)</f>
        <v>0</v>
      </c>
      <c r="H74" s="3">
        <v>67</v>
      </c>
      <c r="I74" s="11">
        <f t="shared" ca="1" si="0"/>
        <v>47176</v>
      </c>
    </row>
    <row r="75" spans="2:9" x14ac:dyDescent="0.35">
      <c r="B75" s="5">
        <v>65</v>
      </c>
      <c r="C75" s="6">
        <f>IF(B75&lt;='Вхідні дані'!$C$15,'Вхідні дані'!$C$19/'Вхідні дані'!$C$15,0)</f>
        <v>0</v>
      </c>
      <c r="D75" s="6">
        <f>IF(B75&lt;='Вхідні дані'!$C$15,F74*'Вхідні дані'!$C$21/365*(I75-I74),0)</f>
        <v>0</v>
      </c>
      <c r="E75" s="7">
        <f>IF(B75&lt;='Вхідні дані'!$C$15,C75+D75,0)</f>
        <v>0</v>
      </c>
      <c r="F75" s="6">
        <f>IF(B75&lt;='Вхідні дані'!$C$15,F74-C75:C76,0)</f>
        <v>0</v>
      </c>
      <c r="H75" s="3">
        <v>68</v>
      </c>
      <c r="I75" s="11">
        <f t="shared" ca="1" si="0"/>
        <v>47204</v>
      </c>
    </row>
    <row r="76" spans="2:9" x14ac:dyDescent="0.35">
      <c r="B76" s="5">
        <v>66</v>
      </c>
      <c r="C76" s="6">
        <f>IF(B76&lt;='Вхідні дані'!$C$15,'Вхідні дані'!$C$19/'Вхідні дані'!$C$15,0)</f>
        <v>0</v>
      </c>
      <c r="D76" s="6">
        <f>IF(B76&lt;='Вхідні дані'!$C$15,F75*'Вхідні дані'!$C$21/365*(I76-I75),0)</f>
        <v>0</v>
      </c>
      <c r="E76" s="7">
        <f>IF(B76&lt;='Вхідні дані'!$C$15,C76+D76,0)</f>
        <v>0</v>
      </c>
      <c r="F76" s="6">
        <f>IF(B76&lt;='Вхідні дані'!$C$15,F75-C76:C77,0)</f>
        <v>0</v>
      </c>
      <c r="H76" s="3">
        <v>69</v>
      </c>
      <c r="I76" s="11">
        <f t="shared" ref="I76:I94" ca="1" si="1">IF(DAY(TODAY())&gt;DAY(DATE(YEAR(TODAY()),MONTH(TODAY())+H73+1,1)-1),DATE(YEAR(TODAY()),MONTH(TODAY())+H73+1,1)-1,DATE(YEAR(TODAY()),MONTH(TODAY())+H73,DAY(TODAY())))</f>
        <v>47235</v>
      </c>
    </row>
    <row r="77" spans="2:9" x14ac:dyDescent="0.35">
      <c r="B77" s="5">
        <v>67</v>
      </c>
      <c r="C77" s="6">
        <f>IF(B77&lt;='Вхідні дані'!$C$15,'Вхідні дані'!$C$19/'Вхідні дані'!$C$15,0)</f>
        <v>0</v>
      </c>
      <c r="D77" s="6">
        <f>IF(B77&lt;='Вхідні дані'!$C$15,F76*'Вхідні дані'!$C$21/365*(I77-I76),0)</f>
        <v>0</v>
      </c>
      <c r="E77" s="7">
        <f>IF(B77&lt;='Вхідні дані'!$C$15,C77+D77,0)</f>
        <v>0</v>
      </c>
      <c r="F77" s="6">
        <f>IF(B77&lt;='Вхідні дані'!$C$15,F76-C77:C78,0)</f>
        <v>0</v>
      </c>
      <c r="H77" s="3">
        <v>70</v>
      </c>
      <c r="I77" s="11">
        <f t="shared" ca="1" si="1"/>
        <v>47265</v>
      </c>
    </row>
    <row r="78" spans="2:9" x14ac:dyDescent="0.35">
      <c r="B78" s="5">
        <v>68</v>
      </c>
      <c r="C78" s="6">
        <f>IF(B78&lt;='Вхідні дані'!$C$15,'Вхідні дані'!$C$19/'Вхідні дані'!$C$15,0)</f>
        <v>0</v>
      </c>
      <c r="D78" s="6">
        <f>IF(B78&lt;='Вхідні дані'!$C$15,F77*'Вхідні дані'!$C$21/365*(I78-I77),0)</f>
        <v>0</v>
      </c>
      <c r="E78" s="7">
        <f>IF(B78&lt;='Вхідні дані'!$C$15,C78+D78,0)</f>
        <v>0</v>
      </c>
      <c r="F78" s="6">
        <f>IF(B78&lt;='Вхідні дані'!$C$15,F77-C78:C79,0)</f>
        <v>0</v>
      </c>
      <c r="H78" s="3">
        <v>71</v>
      </c>
      <c r="I78" s="11">
        <f t="shared" ca="1" si="1"/>
        <v>47296</v>
      </c>
    </row>
    <row r="79" spans="2:9" x14ac:dyDescent="0.35">
      <c r="B79" s="5">
        <v>69</v>
      </c>
      <c r="C79" s="6">
        <f>IF(B79&lt;='Вхідні дані'!$C$15,'Вхідні дані'!$C$19/'Вхідні дані'!$C$15,0)</f>
        <v>0</v>
      </c>
      <c r="D79" s="6">
        <f>IF(B79&lt;='Вхідні дані'!$C$15,F78*'Вхідні дані'!$C$21/365*(I79-I78),0)</f>
        <v>0</v>
      </c>
      <c r="E79" s="7">
        <f>IF(B79&lt;='Вхідні дані'!$C$15,C79+D79,0)</f>
        <v>0</v>
      </c>
      <c r="F79" s="6">
        <f>IF(B79&lt;='Вхідні дані'!$C$15,F78-C79:C80,0)</f>
        <v>0</v>
      </c>
      <c r="H79" s="3">
        <v>72</v>
      </c>
      <c r="I79" s="11">
        <f t="shared" ca="1" si="1"/>
        <v>47326</v>
      </c>
    </row>
    <row r="80" spans="2:9" x14ac:dyDescent="0.35">
      <c r="B80" s="5">
        <v>70</v>
      </c>
      <c r="C80" s="6">
        <f>IF(B80&lt;='Вхідні дані'!$C$15,'Вхідні дані'!$C$19/'Вхідні дані'!$C$15,0)</f>
        <v>0</v>
      </c>
      <c r="D80" s="6">
        <f>IF(B80&lt;='Вхідні дані'!$C$15,F79*'Вхідні дані'!$C$21/365*(I80-I79),0)</f>
        <v>0</v>
      </c>
      <c r="E80" s="7">
        <f>IF(B80&lt;='Вхідні дані'!$C$15,C80+D80,0)</f>
        <v>0</v>
      </c>
      <c r="F80" s="6">
        <f>IF(B80&lt;='Вхідні дані'!$C$15,F79-C80:C81,0)</f>
        <v>0</v>
      </c>
      <c r="H80" s="3">
        <v>73</v>
      </c>
      <c r="I80" s="11">
        <f t="shared" ca="1" si="1"/>
        <v>47357</v>
      </c>
    </row>
    <row r="81" spans="2:9" x14ac:dyDescent="0.35">
      <c r="B81" s="5">
        <v>71</v>
      </c>
      <c r="C81" s="6">
        <f>IF(B81&lt;='Вхідні дані'!$C$15,'Вхідні дані'!$C$19/'Вхідні дані'!$C$15,0)</f>
        <v>0</v>
      </c>
      <c r="D81" s="6">
        <f>IF(B81&lt;='Вхідні дані'!$C$15,F80*'Вхідні дані'!$C$21/365*(I81-I80),0)</f>
        <v>0</v>
      </c>
      <c r="E81" s="7">
        <f>IF(B81&lt;='Вхідні дані'!$C$15,C81+D81,0)</f>
        <v>0</v>
      </c>
      <c r="F81" s="6">
        <f>IF(B81&lt;='Вхідні дані'!$C$15,F80-C81:C82,0)</f>
        <v>0</v>
      </c>
      <c r="H81" s="3">
        <v>74</v>
      </c>
      <c r="I81" s="11">
        <f t="shared" ca="1" si="1"/>
        <v>47388</v>
      </c>
    </row>
    <row r="82" spans="2:9" x14ac:dyDescent="0.35">
      <c r="B82" s="5">
        <v>72</v>
      </c>
      <c r="C82" s="6">
        <f>IF(B82&lt;='Вхідні дані'!$C$15,'Вхідні дані'!$C$19/'Вхідні дані'!$C$15,0)</f>
        <v>0</v>
      </c>
      <c r="D82" s="6">
        <f>IF(B82&lt;='Вхідні дані'!$C$15,F81*'Вхідні дані'!$C$21/365*(I82-I81),0)</f>
        <v>0</v>
      </c>
      <c r="E82" s="7">
        <f>IF(B82&lt;='Вхідні дані'!$C$15,C82+D82,0)</f>
        <v>0</v>
      </c>
      <c r="F82" s="6">
        <f>IF(B82&lt;='Вхідні дані'!$C$15,F81-C82:C83,0)</f>
        <v>0</v>
      </c>
      <c r="H82" s="3">
        <v>75</v>
      </c>
      <c r="I82" s="11">
        <f t="shared" ca="1" si="1"/>
        <v>47418</v>
      </c>
    </row>
    <row r="83" spans="2:9" x14ac:dyDescent="0.35">
      <c r="B83" s="5">
        <v>73</v>
      </c>
      <c r="C83" s="6">
        <f>IF(B83&lt;='Вхідні дані'!$C$15,'Вхідні дані'!$C$19/'Вхідні дані'!$C$15,0)</f>
        <v>0</v>
      </c>
      <c r="D83" s="6">
        <f>IF(B83&lt;='Вхідні дані'!$C$15,F82*'Вхідні дані'!$C$21/365*(I83-I82),0)</f>
        <v>0</v>
      </c>
      <c r="E83" s="7">
        <f>IF(B83&lt;='Вхідні дані'!$C$15,C83+D83,0)</f>
        <v>0</v>
      </c>
      <c r="F83" s="6">
        <f>IF(B83&lt;='Вхідні дані'!$C$15,F82-C83:C84,0)</f>
        <v>0</v>
      </c>
      <c r="H83" s="3">
        <v>76</v>
      </c>
      <c r="I83" s="11">
        <f t="shared" ca="1" si="1"/>
        <v>47449</v>
      </c>
    </row>
    <row r="84" spans="2:9" x14ac:dyDescent="0.35">
      <c r="B84" s="5">
        <v>74</v>
      </c>
      <c r="C84" s="6">
        <f>IF(B84&lt;='Вхідні дані'!$C$15,'Вхідні дані'!$C$19/'Вхідні дані'!$C$15,0)</f>
        <v>0</v>
      </c>
      <c r="D84" s="6">
        <f>IF(B84&lt;='Вхідні дані'!$C$15,F83*'Вхідні дані'!$C$21/365*(I84-I83),0)</f>
        <v>0</v>
      </c>
      <c r="E84" s="7">
        <f>IF(B84&lt;='Вхідні дані'!$C$15,C84+D84,0)</f>
        <v>0</v>
      </c>
      <c r="F84" s="6">
        <f>IF(B84&lt;='Вхідні дані'!$C$15,F83-C84:C85,0)</f>
        <v>0</v>
      </c>
      <c r="H84" s="3">
        <v>77</v>
      </c>
      <c r="I84" s="11">
        <f t="shared" ca="1" si="1"/>
        <v>47479</v>
      </c>
    </row>
    <row r="85" spans="2:9" x14ac:dyDescent="0.35">
      <c r="B85" s="5">
        <v>75</v>
      </c>
      <c r="C85" s="6">
        <f>IF(B85&lt;='Вхідні дані'!$C$15,'Вхідні дані'!$C$19/'Вхідні дані'!$C$15,0)</f>
        <v>0</v>
      </c>
      <c r="D85" s="6">
        <f>IF(B85&lt;='Вхідні дані'!$C$15,F84*'Вхідні дані'!$C$21/365*(I85-I84),0)</f>
        <v>0</v>
      </c>
      <c r="E85" s="7">
        <f>IF(B85&lt;='Вхідні дані'!$C$15,C85+D85,0)</f>
        <v>0</v>
      </c>
      <c r="F85" s="6">
        <f>IF(B85&lt;='Вхідні дані'!$C$15,F84-C85:C86,0)</f>
        <v>0</v>
      </c>
      <c r="H85" s="3">
        <v>78</v>
      </c>
      <c r="I85" s="11">
        <f t="shared" ca="1" si="1"/>
        <v>47510</v>
      </c>
    </row>
    <row r="86" spans="2:9" x14ac:dyDescent="0.35">
      <c r="B86" s="5">
        <v>76</v>
      </c>
      <c r="C86" s="6">
        <f>IF(B86&lt;='Вхідні дані'!$C$15,'Вхідні дані'!$C$19/'Вхідні дані'!$C$15,0)</f>
        <v>0</v>
      </c>
      <c r="D86" s="6">
        <f>IF(B86&lt;='Вхідні дані'!$C$15,F85*'Вхідні дані'!$C$21/365*(I86-I85),0)</f>
        <v>0</v>
      </c>
      <c r="E86" s="7">
        <f>IF(B86&lt;='Вхідні дані'!$C$15,C86+D86,0)</f>
        <v>0</v>
      </c>
      <c r="F86" s="6">
        <f>IF(B86&lt;='Вхідні дані'!$C$15,F85-C86:C87,0)</f>
        <v>0</v>
      </c>
      <c r="H86" s="3">
        <v>79</v>
      </c>
      <c r="I86" s="11">
        <f t="shared" ca="1" si="1"/>
        <v>47541</v>
      </c>
    </row>
    <row r="87" spans="2:9" x14ac:dyDescent="0.35">
      <c r="B87" s="5">
        <v>77</v>
      </c>
      <c r="C87" s="6">
        <f>IF(B87&lt;='Вхідні дані'!$C$15,'Вхідні дані'!$C$19/'Вхідні дані'!$C$15,0)</f>
        <v>0</v>
      </c>
      <c r="D87" s="6">
        <f>IF(B87&lt;='Вхідні дані'!$C$15,F86*'Вхідні дані'!$C$21/365*(I87-I86),0)</f>
        <v>0</v>
      </c>
      <c r="E87" s="7">
        <f>IF(B87&lt;='Вхідні дані'!$C$15,C87+D87,0)</f>
        <v>0</v>
      </c>
      <c r="F87" s="6">
        <f>IF(B87&lt;='Вхідні дані'!$C$15,F86-C87:C88,0)</f>
        <v>0</v>
      </c>
      <c r="H87" s="3">
        <v>80</v>
      </c>
      <c r="I87" s="11">
        <f t="shared" ca="1" si="1"/>
        <v>47569</v>
      </c>
    </row>
    <row r="88" spans="2:9" x14ac:dyDescent="0.35">
      <c r="B88" s="5">
        <v>78</v>
      </c>
      <c r="C88" s="6">
        <f>IF(B88&lt;='Вхідні дані'!$C$15,'Вхідні дані'!$C$19/'Вхідні дані'!$C$15,0)</f>
        <v>0</v>
      </c>
      <c r="D88" s="6">
        <f>IF(B88&lt;='Вхідні дані'!$C$15,F87*'Вхідні дані'!$C$21/365*(I88-I87),0)</f>
        <v>0</v>
      </c>
      <c r="E88" s="7">
        <f>IF(B88&lt;='Вхідні дані'!$C$15,C88+D88,0)</f>
        <v>0</v>
      </c>
      <c r="F88" s="6">
        <f>IF(B88&lt;='Вхідні дані'!$C$15,F87-C88:C89,0)</f>
        <v>0</v>
      </c>
      <c r="H88" s="3">
        <v>81</v>
      </c>
      <c r="I88" s="11">
        <f t="shared" ca="1" si="1"/>
        <v>47600</v>
      </c>
    </row>
    <row r="89" spans="2:9" x14ac:dyDescent="0.35">
      <c r="B89" s="5">
        <v>79</v>
      </c>
      <c r="C89" s="6">
        <f>IF(B89&lt;='Вхідні дані'!$C$15,'Вхідні дані'!$C$19/'Вхідні дані'!$C$15,0)</f>
        <v>0</v>
      </c>
      <c r="D89" s="6">
        <f>IF(B89&lt;='Вхідні дані'!$C$15,F88*'Вхідні дані'!$C$21/365*(I89-I88),0)</f>
        <v>0</v>
      </c>
      <c r="E89" s="7">
        <f>IF(B89&lt;='Вхідні дані'!$C$15,C89+D89,0)</f>
        <v>0</v>
      </c>
      <c r="F89" s="6">
        <f>IF(B89&lt;='Вхідні дані'!$C$15,F88-C89:C90,0)</f>
        <v>0</v>
      </c>
      <c r="H89" s="3">
        <v>82</v>
      </c>
      <c r="I89" s="11">
        <f t="shared" ca="1" si="1"/>
        <v>47630</v>
      </c>
    </row>
    <row r="90" spans="2:9" x14ac:dyDescent="0.35">
      <c r="B90" s="5">
        <v>80</v>
      </c>
      <c r="C90" s="6">
        <f>IF(B90&lt;='Вхідні дані'!$C$15,'Вхідні дані'!$C$19/'Вхідні дані'!$C$15,0)</f>
        <v>0</v>
      </c>
      <c r="D90" s="6">
        <f>IF(B90&lt;='Вхідні дані'!$C$15,F89*'Вхідні дані'!$C$21/365*(I90-I89),0)</f>
        <v>0</v>
      </c>
      <c r="E90" s="7">
        <f>IF(B90&lt;='Вхідні дані'!$C$15,C90+D90,0)</f>
        <v>0</v>
      </c>
      <c r="F90" s="6">
        <f>IF(B90&lt;='Вхідні дані'!$C$15,F89-C90:C91,0)</f>
        <v>0</v>
      </c>
      <c r="H90" s="3">
        <v>83</v>
      </c>
      <c r="I90" s="11">
        <f t="shared" ca="1" si="1"/>
        <v>47661</v>
      </c>
    </row>
    <row r="91" spans="2:9" x14ac:dyDescent="0.35">
      <c r="B91" s="5">
        <v>81</v>
      </c>
      <c r="C91" s="6">
        <f>IF(B91&lt;='Вхідні дані'!$C$15,'Вхідні дані'!$C$19/'Вхідні дані'!$C$15,0)</f>
        <v>0</v>
      </c>
      <c r="D91" s="6">
        <f>IF(B91&lt;='Вхідні дані'!$C$15,F90*'Вхідні дані'!$C$21/365*(I91-I90),0)</f>
        <v>0</v>
      </c>
      <c r="E91" s="7">
        <f>IF(B91&lt;='Вхідні дані'!$C$15,C91+D91,0)</f>
        <v>0</v>
      </c>
      <c r="F91" s="6">
        <f>IF(B91&lt;='Вхідні дані'!$C$15,F90-C91:C92,0)</f>
        <v>0</v>
      </c>
      <c r="H91" s="3">
        <v>84</v>
      </c>
      <c r="I91" s="11">
        <f t="shared" ca="1" si="1"/>
        <v>47691</v>
      </c>
    </row>
    <row r="92" spans="2:9" x14ac:dyDescent="0.35">
      <c r="B92" s="5">
        <v>82</v>
      </c>
      <c r="C92" s="6">
        <f>IF(B92&lt;='Вхідні дані'!$C$15,'Вхідні дані'!$C$19/'Вхідні дані'!$C$15,0)</f>
        <v>0</v>
      </c>
      <c r="D92" s="6">
        <f>IF(B92&lt;='Вхідні дані'!$C$15,F91*'Вхідні дані'!$C$21/365*(I92-I91),0)</f>
        <v>0</v>
      </c>
      <c r="E92" s="7">
        <f>IF(B92&lt;='Вхідні дані'!$C$15,C92+D92,0)</f>
        <v>0</v>
      </c>
      <c r="F92" s="6">
        <f>IF(B92&lt;='Вхідні дані'!$C$15,F91-C92:C93,0)</f>
        <v>0</v>
      </c>
      <c r="H92" s="3">
        <v>85</v>
      </c>
      <c r="I92" s="11">
        <f t="shared" ca="1" si="1"/>
        <v>47722</v>
      </c>
    </row>
    <row r="93" spans="2:9" x14ac:dyDescent="0.35">
      <c r="B93" s="5">
        <v>83</v>
      </c>
      <c r="C93" s="6">
        <f>IF(B93&lt;='Вхідні дані'!$C$15,'Вхідні дані'!$C$19/'Вхідні дані'!$C$15,0)</f>
        <v>0</v>
      </c>
      <c r="D93" s="6">
        <f>IF(B93&lt;='Вхідні дані'!$C$15,F92*'Вхідні дані'!$C$21/365*(I93-I92),0)</f>
        <v>0</v>
      </c>
      <c r="E93" s="7">
        <f>IF(B93&lt;='Вхідні дані'!$C$15,C93+D93,0)</f>
        <v>0</v>
      </c>
      <c r="F93" s="6">
        <f>IF(B93&lt;='Вхідні дані'!$C$15,F92-C93:C94,0)</f>
        <v>0</v>
      </c>
      <c r="H93" s="3">
        <v>86</v>
      </c>
      <c r="I93" s="11">
        <f t="shared" ca="1" si="1"/>
        <v>47753</v>
      </c>
    </row>
    <row r="94" spans="2:9" x14ac:dyDescent="0.35">
      <c r="B94" s="5">
        <v>84</v>
      </c>
      <c r="C94" s="6">
        <f>IF(B94&lt;='Вхідні дані'!$C$15,'Вхідні дані'!$C$19/'Вхідні дані'!$C$15,0)</f>
        <v>0</v>
      </c>
      <c r="D94" s="6">
        <f>IF(B94&lt;='Вхідні дані'!$C$15,F93*'Вхідні дані'!$C$21/365*(I94-I93),0)</f>
        <v>0</v>
      </c>
      <c r="E94" s="7">
        <f>IF(B94&lt;='Вхідні дані'!$C$15,C94+D94,0)</f>
        <v>0</v>
      </c>
      <c r="F94" s="6">
        <f>IF(B94&lt;='Вхідні дані'!$C$15,F93-C94:C95,0)</f>
        <v>0</v>
      </c>
      <c r="H94" s="3">
        <v>87</v>
      </c>
      <c r="I94" s="11">
        <f t="shared" ca="1" si="1"/>
        <v>47783</v>
      </c>
    </row>
    <row r="95" spans="2:9" x14ac:dyDescent="0.35">
      <c r="B95" s="8" t="s">
        <v>21</v>
      </c>
      <c r="C95" s="10">
        <f>SUM(C11:C94)</f>
        <v>1294849.9999999998</v>
      </c>
      <c r="D95" s="10">
        <f ca="1">SUM(D11:D94)</f>
        <v>263247.59314429242</v>
      </c>
      <c r="E95" s="10">
        <f ca="1">SUM(E11:E94)</f>
        <v>1558097.5931442925</v>
      </c>
    </row>
    <row r="96" spans="2:9" x14ac:dyDescent="0.35"/>
  </sheetData>
  <sheetProtection algorithmName="SHA-512" hashValue="tk7ZAt4mbr6DrVilh+HvbyQh+nrvmVpf0pg2ZAeptA+UZkHggM8tOJVrDlZ8kmGIuHcioyzi7YVA2SVIesUYLA==" saltValue="gfWVUjatgp8xq+kXMxaQyw==" spinCount="100000" sheet="1" objects="1" scenarios="1"/>
  <mergeCells count="1">
    <mergeCell ref="B7:F8"/>
  </mergeCells>
  <conditionalFormatting sqref="C11:F94">
    <cfRule type="cellIs" dxfId="5" priority="1" operator="equal">
      <formula>0</formula>
    </cfRule>
  </conditionalFormatting>
  <pageMargins left="0.7" right="0.7" top="0.75" bottom="0.75" header="0.3" footer="0.3"/>
  <pageSetup paperSize="9" scale="73" orientation="portrait" r:id="rId1"/>
  <headerFooter>
    <oddFooter>&amp;R_x000D_&amp;1#&amp;"Arial"&amp;10&amp;K000000 Confidential C</oddFooter>
  </headerFooter>
  <rowBreaks count="1" manualBreakCount="1">
    <brk id="58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3707C-B8AA-43A8-93B3-E8C31A1608B7}">
  <dimension ref="A1:H96"/>
  <sheetViews>
    <sheetView showGridLines="0" zoomScaleNormal="100" workbookViewId="0">
      <selection activeCell="D3" sqref="D3"/>
    </sheetView>
  </sheetViews>
  <sheetFormatPr defaultColWidth="0" defaultRowHeight="14.5" zeroHeight="1" x14ac:dyDescent="0.35"/>
  <cols>
    <col min="1" max="1" width="9.1796875" style="3" customWidth="1"/>
    <col min="2" max="2" width="11.54296875" style="3" customWidth="1"/>
    <col min="3" max="3" width="22.54296875" style="4" customWidth="1"/>
    <col min="4" max="4" width="23.54296875" style="3" customWidth="1"/>
    <col min="5" max="5" width="18" style="3" customWidth="1"/>
    <col min="6" max="6" width="25.1796875" style="3" customWidth="1"/>
    <col min="7" max="7" width="9.1796875" style="1" customWidth="1"/>
    <col min="8" max="8" width="9.1796875" style="1" hidden="1" customWidth="1"/>
    <col min="9" max="16384" width="9.1796875" style="3" hidden="1"/>
  </cols>
  <sheetData>
    <row r="1" spans="2:8" x14ac:dyDescent="0.35"/>
    <row r="2" spans="2:8" x14ac:dyDescent="0.35"/>
    <row r="3" spans="2:8" x14ac:dyDescent="0.35"/>
    <row r="4" spans="2:8" x14ac:dyDescent="0.35"/>
    <row r="5" spans="2:8" x14ac:dyDescent="0.35"/>
    <row r="6" spans="2:8" x14ac:dyDescent="0.35"/>
    <row r="7" spans="2:8" x14ac:dyDescent="0.35">
      <c r="B7" s="59" t="s">
        <v>34</v>
      </c>
      <c r="C7" s="60"/>
      <c r="D7" s="60"/>
      <c r="E7" s="60"/>
      <c r="F7" s="60"/>
    </row>
    <row r="8" spans="2:8" ht="18.75" customHeight="1" x14ac:dyDescent="0.35">
      <c r="B8" s="60"/>
      <c r="C8" s="60"/>
      <c r="D8" s="60"/>
      <c r="E8" s="60"/>
      <c r="F8" s="60"/>
      <c r="G8" s="3"/>
      <c r="H8" s="3"/>
    </row>
    <row r="9" spans="2:8" x14ac:dyDescent="0.35"/>
    <row r="10" spans="2:8" ht="43.5" x14ac:dyDescent="0.35">
      <c r="B10" s="55" t="s">
        <v>18</v>
      </c>
      <c r="C10" s="56" t="s">
        <v>19</v>
      </c>
      <c r="D10" s="55" t="s">
        <v>20</v>
      </c>
      <c r="E10" s="55" t="s">
        <v>21</v>
      </c>
      <c r="F10" s="55" t="s">
        <v>22</v>
      </c>
      <c r="G10" s="3"/>
      <c r="H10" s="3"/>
    </row>
    <row r="11" spans="2:8" x14ac:dyDescent="0.35">
      <c r="B11" s="5">
        <v>1</v>
      </c>
      <c r="C11" s="6">
        <f>IF(B11&lt;='Вхідні дані'!$C$15,-PPMT('Вхідні дані'!$C$21/12,B11,'Вхідні дані'!$C$15,'Вхідні дані'!$C$19,0),0)</f>
        <v>17627.149718264543</v>
      </c>
      <c r="D11" s="6">
        <f>'Вхідні дані'!$C$19*'Вхідні дані'!$C$21/12</f>
        <v>8621.5429166666672</v>
      </c>
      <c r="E11" s="7">
        <f>IF(B11&lt;='Вхідні дані'!$C$15,C11+D11,0)</f>
        <v>26248.692634931213</v>
      </c>
      <c r="F11" s="6">
        <f>'Вхідні дані'!$C$19-C11:C12</f>
        <v>1277222.8502817354</v>
      </c>
      <c r="G11" s="3"/>
      <c r="H11" s="3"/>
    </row>
    <row r="12" spans="2:8" x14ac:dyDescent="0.35">
      <c r="B12" s="5">
        <v>2</v>
      </c>
      <c r="C12" s="6">
        <f>IF(B12&lt;='Вхідні дані'!$C$15,-PPMT('Вхідні дані'!$C$21/12,B12,'Вхідні дані'!$C$15,'Вхідні дані'!$C$19,0),0)</f>
        <v>17744.517156805319</v>
      </c>
      <c r="D12" s="6">
        <f>IF(B12&lt;='Вхідні дані'!$C$15,F11*'Вхідні дані'!$C$21/12,0)</f>
        <v>8504.1754781258878</v>
      </c>
      <c r="E12" s="7">
        <f>IF(B12&lt;='Вхідні дані'!$C$15,C12+D12,0)</f>
        <v>26248.692634931205</v>
      </c>
      <c r="F12" s="6">
        <f>IF(B12&lt;='Вхідні дані'!$C$15,F11-C12:C13,0)</f>
        <v>1259478.33312493</v>
      </c>
      <c r="G12" s="3"/>
      <c r="H12" s="3"/>
    </row>
    <row r="13" spans="2:8" x14ac:dyDescent="0.35">
      <c r="B13" s="5">
        <v>3</v>
      </c>
      <c r="C13" s="6">
        <f>IF(B13&lt;='Вхідні дані'!$C$15,-PPMT('Вхідні дані'!$C$21/12,B13,'Вхідні дані'!$C$15,'Вхідні дані'!$C$19,0),0)</f>
        <v>17862.666066874383</v>
      </c>
      <c r="D13" s="6">
        <f>IF(B13&lt;='Вхідні дані'!$C$15,F12*'Вхідні дані'!$C$21/12,0)</f>
        <v>8386.0265680568245</v>
      </c>
      <c r="E13" s="7">
        <f>IF(B13&lt;='Вхідні дані'!$C$15,C13+D13,0)</f>
        <v>26248.692634931205</v>
      </c>
      <c r="F13" s="6">
        <f>IF(B13&lt;='Вхідні дані'!$C$15,F12-C13:C14,0)</f>
        <v>1241615.6670580558</v>
      </c>
      <c r="G13" s="3"/>
      <c r="H13" s="3"/>
    </row>
    <row r="14" spans="2:8" x14ac:dyDescent="0.35">
      <c r="B14" s="5">
        <v>4</v>
      </c>
      <c r="C14" s="6">
        <f>IF(B14&lt;='Вхідні дані'!$C$15,-PPMT('Вхідні дані'!$C$21/12,B14,'Вхідні дані'!$C$15,'Вхідні дані'!$C$19,0),0)</f>
        <v>17981.601651769655</v>
      </c>
      <c r="D14" s="6">
        <f>IF(B14&lt;='Вхідні дані'!$C$15,F13*'Вхідні дані'!$C$21/12,0)</f>
        <v>8267.0909831615554</v>
      </c>
      <c r="E14" s="7">
        <f>IF(B14&lt;='Вхідні дані'!$C$15,C14+D14,0)</f>
        <v>26248.692634931213</v>
      </c>
      <c r="F14" s="6">
        <f>IF(B14&lt;='Вхідні дані'!$C$15,F13-C14:C15,0)</f>
        <v>1223634.0654062862</v>
      </c>
      <c r="G14" s="3"/>
      <c r="H14" s="3"/>
    </row>
    <row r="15" spans="2:8" x14ac:dyDescent="0.35">
      <c r="B15" s="5">
        <v>5</v>
      </c>
      <c r="C15" s="6">
        <f>IF(B15&lt;='Вхідні дані'!$C$15,-PPMT('Вхідні дані'!$C$21/12,B15,'Вхідні дані'!$C$15,'Вхідні дані'!$C$19,0),0)</f>
        <v>18101.32914943435</v>
      </c>
      <c r="D15" s="6">
        <f>IF(B15&lt;='Вхідні дані'!$C$15,F14*'Вхідні дані'!$C$21/12,0)</f>
        <v>8147.363485496855</v>
      </c>
      <c r="E15" s="7">
        <f>IF(B15&lt;='Вхідні дані'!$C$15,C15+D15,0)</f>
        <v>26248.692634931205</v>
      </c>
      <c r="F15" s="6">
        <f>IF(B15&lt;='Вхідні дані'!$C$15,F14-C15:C16,0)</f>
        <v>1205532.7362568518</v>
      </c>
      <c r="G15" s="3"/>
      <c r="H15" s="3"/>
    </row>
    <row r="16" spans="2:8" x14ac:dyDescent="0.35">
      <c r="B16" s="5">
        <v>6</v>
      </c>
      <c r="C16" s="6">
        <f>IF(B16&lt;='Вхідні дані'!$C$15,-PPMT('Вхідні дані'!$C$21/12,B16,'Вхідні дані'!$C$15,'Вхідні дані'!$C$19,0),0)</f>
        <v>18221.85383268767</v>
      </c>
      <c r="D16" s="6">
        <f>IF(B16&lt;='Вхідні дані'!$C$15,F15*'Вхідні дані'!$C$21/12,0)</f>
        <v>8026.8388022435383</v>
      </c>
      <c r="E16" s="7">
        <f>IF(B16&lt;='Вхідні дані'!$C$15,C16+D16,0)</f>
        <v>26248.692634931209</v>
      </c>
      <c r="F16" s="6">
        <f>IF(B16&lt;='Вхідні дані'!$C$15,F15-C16:C17,0)</f>
        <v>1187310.8824241641</v>
      </c>
      <c r="G16" s="3"/>
      <c r="H16" s="3"/>
    </row>
    <row r="17" spans="2:6" s="3" customFormat="1" x14ac:dyDescent="0.35">
      <c r="B17" s="5">
        <v>7</v>
      </c>
      <c r="C17" s="6">
        <f>IF(B17&lt;='Вхідні дані'!$C$15,-PPMT('Вхідні дані'!$C$21/12,B17,'Вхідні дані'!$C$15,'Вхідні дані'!$C$19,0),0)</f>
        <v>18343.181009456981</v>
      </c>
      <c r="D17" s="6">
        <f>IF(B17&lt;='Вхідні дані'!$C$15,F16*'Вхідні дані'!$C$21/12,0)</f>
        <v>7905.5116254742252</v>
      </c>
      <c r="E17" s="7">
        <f>IF(B17&lt;='Вхідні дані'!$C$15,C17+D17,0)</f>
        <v>26248.692634931205</v>
      </c>
      <c r="F17" s="6">
        <f>IF(B17&lt;='Вхідні дані'!$C$15,F16-C17:C18,0)</f>
        <v>1168967.7014147071</v>
      </c>
    </row>
    <row r="18" spans="2:6" s="3" customFormat="1" x14ac:dyDescent="0.35">
      <c r="B18" s="5">
        <v>8</v>
      </c>
      <c r="C18" s="6">
        <f>IF(B18&lt;='Вхідні дані'!$C$15,-PPMT('Вхідні дані'!$C$21/12,B18,'Вхідні дані'!$C$15,'Вхідні дані'!$C$19,0),0)</f>
        <v>18465.316023011615</v>
      </c>
      <c r="D18" s="6">
        <f>IF(B18&lt;='Вхідні дані'!$C$15,F17*'Вхідні дані'!$C$21/12,0)</f>
        <v>7783.3766119195907</v>
      </c>
      <c r="E18" s="7">
        <f>IF(B18&lt;='Вхідні дані'!$C$15,C18+D18,0)</f>
        <v>26248.692634931205</v>
      </c>
      <c r="F18" s="6">
        <f>IF(B18&lt;='Вхідні дані'!$C$15,F17-C18:C19,0)</f>
        <v>1150502.3853916954</v>
      </c>
    </row>
    <row r="19" spans="2:6" s="3" customFormat="1" x14ac:dyDescent="0.35">
      <c r="B19" s="5">
        <v>9</v>
      </c>
      <c r="C19" s="6">
        <f>IF(B19&lt;='Вхідні дані'!$C$15,-PPMT('Вхідні дані'!$C$21/12,B19,'Вхідні дані'!$C$15,'Вхідні дані'!$C$19,0),0)</f>
        <v>18588.264252198169</v>
      </c>
      <c r="D19" s="6">
        <f>IF(B19&lt;='Вхідні дані'!$C$15,F18*'Вхідні дані'!$C$21/12,0)</f>
        <v>7660.4283827330391</v>
      </c>
      <c r="E19" s="7">
        <f>IF(B19&lt;='Вхідні дані'!$C$15,C19+D19,0)</f>
        <v>26248.692634931209</v>
      </c>
      <c r="F19" s="6">
        <f>IF(B19&lt;='Вхідні дані'!$C$15,F18-C19:C20,0)</f>
        <v>1131914.1211394973</v>
      </c>
    </row>
    <row r="20" spans="2:6" s="3" customFormat="1" x14ac:dyDescent="0.35">
      <c r="B20" s="5">
        <v>10</v>
      </c>
      <c r="C20" s="6">
        <f>IF(B20&lt;='Вхідні дані'!$C$15,-PPMT('Вхідні дані'!$C$21/12,B20,'Вхідні дані'!$C$15,'Вхідні дані'!$C$19,0),0)</f>
        <v>18712.031111677388</v>
      </c>
      <c r="D20" s="6">
        <f>IF(B20&lt;='Вхідні дані'!$C$15,F19*'Вхідні дані'!$C$21/12,0)</f>
        <v>7536.6615232538197</v>
      </c>
      <c r="E20" s="7">
        <f>IF(B20&lt;='Вхідні дані'!$C$15,C20+D20,0)</f>
        <v>26248.692634931209</v>
      </c>
      <c r="F20" s="6">
        <f>IF(B20&lt;='Вхідні дані'!$C$15,F19-C20:C21,0)</f>
        <v>1113202.0900278199</v>
      </c>
    </row>
    <row r="21" spans="2:6" s="3" customFormat="1" x14ac:dyDescent="0.35">
      <c r="B21" s="5">
        <v>11</v>
      </c>
      <c r="C21" s="6">
        <f>IF(B21&lt;='Вхідні дані'!$C$15,-PPMT('Вхідні дані'!$C$21/12,B21,'Вхідні дані'!$C$15,'Вхідні дані'!$C$19,0),0)</f>
        <v>18836.622052162638</v>
      </c>
      <c r="D21" s="6">
        <f>IF(B21&lt;='Вхідні дані'!$C$15,F20*'Вхідні дані'!$C$21/12,0)</f>
        <v>7412.070582768567</v>
      </c>
      <c r="E21" s="7">
        <f>IF(B21&lt;='Вхідні дані'!$C$15,C21+D21,0)</f>
        <v>26248.692634931205</v>
      </c>
      <c r="F21" s="6">
        <f>IF(B21&lt;='Вхідні дані'!$C$15,F20-C21:C22,0)</f>
        <v>1094365.4679756572</v>
      </c>
    </row>
    <row r="22" spans="2:6" s="3" customFormat="1" x14ac:dyDescent="0.35">
      <c r="B22" s="5">
        <v>12</v>
      </c>
      <c r="C22" s="6">
        <f>IF(B22&lt;='Вхідні дані'!$C$15,-PPMT('Вхідні дані'!$C$21/12,B22,'Вхідні дані'!$C$15,'Вхідні дані'!$C$19,0),0)</f>
        <v>18962.042560659957</v>
      </c>
      <c r="D22" s="6">
        <f>IF(B22&lt;='Вхідні дані'!$C$15,F21*'Вхідні дані'!$C$21/12,0)</f>
        <v>7286.6500742712515</v>
      </c>
      <c r="E22" s="7">
        <f>IF(B22&lt;='Вхідні дані'!$C$15,C22+D22,0)</f>
        <v>26248.692634931209</v>
      </c>
      <c r="F22" s="6">
        <f>IF(B22&lt;='Вхідні дані'!$C$15,F21-C22:C23,0)</f>
        <v>1075403.4254149972</v>
      </c>
    </row>
    <row r="23" spans="2:6" s="3" customFormat="1" x14ac:dyDescent="0.35">
      <c r="B23" s="5">
        <v>13</v>
      </c>
      <c r="C23" s="6">
        <f>IF(B23&lt;='Вхідні дані'!$C$15,-PPMT('Вхідні дані'!$C$21/12,B23,'Вхідні дані'!$C$15,'Вхідні дані'!$C$19,0),0)</f>
        <v>19088.298160709684</v>
      </c>
      <c r="D23" s="6">
        <f>IF(B23&lt;='Вхідні дані'!$C$15,F22*'Вхідні дані'!$C$21/12,0)</f>
        <v>7160.3944742215217</v>
      </c>
      <c r="E23" s="7">
        <f>IF(B23&lt;='Вхідні дані'!$C$15,C23+D23,0)</f>
        <v>26248.692634931205</v>
      </c>
      <c r="F23" s="6">
        <f>IF(B23&lt;='Вхідні дані'!$C$15,F22-C23:C24,0)</f>
        <v>1056315.1272542875</v>
      </c>
    </row>
    <row r="24" spans="2:6" s="3" customFormat="1" x14ac:dyDescent="0.35">
      <c r="B24" s="5">
        <v>14</v>
      </c>
      <c r="C24" s="6">
        <f>IF(B24&lt;='Вхідні дані'!$C$15,-PPMT('Вхідні дані'!$C$21/12,B24,'Вхідні дані'!$C$15,'Вхідні дані'!$C$19,0),0)</f>
        <v>19215.394412629743</v>
      </c>
      <c r="D24" s="6">
        <f>IF(B24&lt;='Вхідні дані'!$C$15,F23*'Вхідні дані'!$C$21/12,0)</f>
        <v>7033.2982223014633</v>
      </c>
      <c r="E24" s="7">
        <f>IF(B24&lt;='Вхідні дані'!$C$15,C24+D24,0)</f>
        <v>26248.692634931205</v>
      </c>
      <c r="F24" s="6">
        <f>IF(B24&lt;='Вхідні дані'!$C$15,F23-C24:C25,0)</f>
        <v>1037099.7328416577</v>
      </c>
    </row>
    <row r="25" spans="2:6" s="3" customFormat="1" x14ac:dyDescent="0.35">
      <c r="B25" s="5">
        <v>15</v>
      </c>
      <c r="C25" s="6">
        <f>IF(B25&lt;='Вхідні дані'!$C$15,-PPMT('Вхідні дані'!$C$21/12,B25,'Вхідні дані'!$C$15,'Вхідні дані'!$C$19,0),0)</f>
        <v>19343.336913760504</v>
      </c>
      <c r="D25" s="6">
        <f>IF(B25&lt;='Вхідні дані'!$C$15,F24*'Вхідні дані'!$C$21/12,0)</f>
        <v>6905.3557211707039</v>
      </c>
      <c r="E25" s="7">
        <f>IF(B25&lt;='Вхідні дані'!$C$15,C25+D25,0)</f>
        <v>26248.692634931209</v>
      </c>
      <c r="F25" s="6">
        <f>IF(B25&lt;='Вхідні дані'!$C$15,F24-C25:C26,0)</f>
        <v>1017756.3959278972</v>
      </c>
    </row>
    <row r="26" spans="2:6" s="3" customFormat="1" x14ac:dyDescent="0.35">
      <c r="B26" s="5">
        <v>16</v>
      </c>
      <c r="C26" s="6">
        <f>IF(B26&lt;='Вхідні дані'!$C$15,-PPMT('Вхідні дані'!$C$21/12,B26,'Вхідні дані'!$C$15,'Вхідні дані'!$C$19,0),0)</f>
        <v>19472.131298711294</v>
      </c>
      <c r="D26" s="6">
        <f>IF(B26&lt;='Вхідні дані'!$C$15,F25*'Вхідні дані'!$C$21/12,0)</f>
        <v>6776.5613362199156</v>
      </c>
      <c r="E26" s="7">
        <f>IF(B26&lt;='Вхідні дані'!$C$15,C26+D26,0)</f>
        <v>26248.692634931209</v>
      </c>
      <c r="F26" s="6">
        <f>IF(B26&lt;='Вхідні дані'!$C$15,F25-C26:C27,0)</f>
        <v>998284.2646291859</v>
      </c>
    </row>
    <row r="27" spans="2:6" s="3" customFormat="1" x14ac:dyDescent="0.35">
      <c r="B27" s="5">
        <v>17</v>
      </c>
      <c r="C27" s="6">
        <f>IF(B27&lt;='Вхідні дані'!$C$15,-PPMT('Вхідні дані'!$C$21/12,B27,'Вхідні дані'!$C$15,'Вхідні дані'!$C$19,0),0)</f>
        <v>19601.783239608543</v>
      </c>
      <c r="D27" s="6">
        <f>IF(B27&lt;='Вхідні дані'!$C$15,F26*'Вхідні дані'!$C$21/12,0)</f>
        <v>6646.9093953226629</v>
      </c>
      <c r="E27" s="7">
        <f>IF(B27&lt;='Вхідні дані'!$C$15,C27+D27,0)</f>
        <v>26248.692634931205</v>
      </c>
      <c r="F27" s="6">
        <f>IF(B27&lt;='Вхідні дані'!$C$15,F26-C27:C28,0)</f>
        <v>978682.48138957738</v>
      </c>
    </row>
    <row r="28" spans="2:6" s="3" customFormat="1" x14ac:dyDescent="0.35">
      <c r="B28" s="5">
        <v>18</v>
      </c>
      <c r="C28" s="6">
        <f>IF(B28&lt;='Вхідні дані'!$C$15,-PPMT('Вхідні дані'!$C$21/12,B28,'Вхідні дані'!$C$15,'Вхідні дані'!$C$19,0),0)</f>
        <v>19732.298446345605</v>
      </c>
      <c r="D28" s="6">
        <f>IF(B28&lt;='Вхідні дані'!$C$15,F27*'Вхідні дані'!$C$21/12,0)</f>
        <v>6516.3941885856029</v>
      </c>
      <c r="E28" s="7">
        <f>IF(B28&lt;='Вхідні дані'!$C$15,C28+D28,0)</f>
        <v>26248.692634931209</v>
      </c>
      <c r="F28" s="6">
        <f>IF(B28&lt;='Вхідні дані'!$C$15,F27-C28:C29,0)</f>
        <v>958950.18294323178</v>
      </c>
    </row>
    <row r="29" spans="2:6" s="3" customFormat="1" x14ac:dyDescent="0.35">
      <c r="B29" s="5">
        <v>19</v>
      </c>
      <c r="C29" s="6">
        <f>IF(B29&lt;='Вхідні дані'!$C$15,-PPMT('Вхідні дані'!$C$21/12,B29,'Вхідні дані'!$C$15,'Вхідні дані'!$C$19,0),0)</f>
        <v>19863.682666834186</v>
      </c>
      <c r="D29" s="6">
        <f>IF(B29&lt;='Вхідні дані'!$C$15,F28*'Вхідні дані'!$C$21/12,0)</f>
        <v>6385.0099680970188</v>
      </c>
      <c r="E29" s="7">
        <f>IF(B29&lt;='Вхідні дані'!$C$15,C29+D29,0)</f>
        <v>26248.692634931205</v>
      </c>
      <c r="F29" s="6">
        <f>IF(B29&lt;='Вхідні дані'!$C$15,F28-C29:C30,0)</f>
        <v>939086.50027639756</v>
      </c>
    </row>
    <row r="30" spans="2:6" s="3" customFormat="1" x14ac:dyDescent="0.35">
      <c r="B30" s="5">
        <v>20</v>
      </c>
      <c r="C30" s="6">
        <f>IF(B30&lt;='Вхідні дані'!$C$15,-PPMT('Вхідні дані'!$C$21/12,B30,'Вхідні дані'!$C$15,'Вхідні дані'!$C$19,0),0)</f>
        <v>19995.941687257524</v>
      </c>
      <c r="D30" s="6">
        <f>IF(B30&lt;='Вхідні дані'!$C$15,F29*'Вхідні дані'!$C$21/12,0)</f>
        <v>6252.7509476736805</v>
      </c>
      <c r="E30" s="7">
        <f>IF(B30&lt;='Вхідні дані'!$C$15,C30+D30,0)</f>
        <v>26248.692634931205</v>
      </c>
      <c r="F30" s="6">
        <f>IF(B30&lt;='Вхідні дані'!$C$15,F29-C30:C31,0)</f>
        <v>919090.55858914007</v>
      </c>
    </row>
    <row r="31" spans="2:6" s="3" customFormat="1" x14ac:dyDescent="0.35">
      <c r="B31" s="5">
        <v>21</v>
      </c>
      <c r="C31" s="6">
        <f>IF(B31&lt;='Вхідні дані'!$C$15,-PPMT('Вхідні дані'!$C$21/12,B31,'Вхідні дані'!$C$15,'Вхідні дані'!$C$19,0),0)</f>
        <v>20129.081332325182</v>
      </c>
      <c r="D31" s="6">
        <f>IF(B31&lt;='Вхідні дані'!$C$15,F30*'Вхідні дані'!$C$21/12,0)</f>
        <v>6119.6113026060239</v>
      </c>
      <c r="E31" s="7">
        <f>IF(B31&lt;='Вхідні дані'!$C$15,C31+D31,0)</f>
        <v>26248.692634931205</v>
      </c>
      <c r="F31" s="6">
        <f>IF(B31&lt;='Вхідні дані'!$C$15,F30-C31:C32,0)</f>
        <v>898961.47725681483</v>
      </c>
    </row>
    <row r="32" spans="2:6" s="3" customFormat="1" x14ac:dyDescent="0.35">
      <c r="B32" s="5">
        <v>22</v>
      </c>
      <c r="C32" s="6">
        <f>IF(B32&lt;='Вхідні дані'!$C$15,-PPMT('Вхідні дані'!$C$21/12,B32,'Вхідні дані'!$C$15,'Вхідні дані'!$C$19,0),0)</f>
        <v>20263.107465529582</v>
      </c>
      <c r="D32" s="6">
        <f>IF(B32&lt;='Вхідні дані'!$C$15,F31*'Вхідні дані'!$C$21/12,0)</f>
        <v>5985.5851694016246</v>
      </c>
      <c r="E32" s="7">
        <f>IF(B32&lt;='Вхідні дані'!$C$15,C32+D32,0)</f>
        <v>26248.692634931205</v>
      </c>
      <c r="F32" s="6">
        <f>IF(B32&lt;='Вхідні дані'!$C$15,F31-C32:C33,0)</f>
        <v>878698.36979128525</v>
      </c>
    </row>
    <row r="33" spans="2:6" s="3" customFormat="1" x14ac:dyDescent="0.35">
      <c r="B33" s="5">
        <v>23</v>
      </c>
      <c r="C33" s="6">
        <f>IF(B33&lt;='Вхідні дані'!$C$15,-PPMT('Вхідні дані'!$C$21/12,B33,'Вхідні дані'!$C$15,'Вхідні дані'!$C$19,0),0)</f>
        <v>20398.025989404236</v>
      </c>
      <c r="D33" s="6">
        <f>IF(B33&lt;='Вхідні дані'!$C$15,F32*'Вхідні дані'!$C$21/12,0)</f>
        <v>5850.6666455269742</v>
      </c>
      <c r="E33" s="7">
        <f>IF(B33&lt;='Вхідні дані'!$C$15,C33+D33,0)</f>
        <v>26248.692634931209</v>
      </c>
      <c r="F33" s="6">
        <f>IF(B33&lt;='Вхідні дані'!$C$15,F32-C33:C34,0)</f>
        <v>858300.34380188107</v>
      </c>
    </row>
    <row r="34" spans="2:6" s="3" customFormat="1" x14ac:dyDescent="0.35">
      <c r="B34" s="5">
        <v>24</v>
      </c>
      <c r="C34" s="6">
        <f>IF(B34&lt;='Вхідні дані'!$C$15,-PPMT('Вхідні дані'!$C$21/12,B34,'Вхідні дані'!$C$15,'Вхідні дані'!$C$19,0),0)</f>
        <v>20533.842845783678</v>
      </c>
      <c r="D34" s="6">
        <f>IF(B34&lt;='Вхідні дані'!$C$15,F33*'Вхідні дані'!$C$21/12,0)</f>
        <v>5714.8497891475245</v>
      </c>
      <c r="E34" s="7">
        <f>IF(B34&lt;='Вхідні дані'!$C$15,C34+D34,0)</f>
        <v>26248.692634931202</v>
      </c>
      <c r="F34" s="6">
        <f>IF(B34&lt;='Вхідні дані'!$C$15,F33-C34:C35,0)</f>
        <v>837766.50095609738</v>
      </c>
    </row>
    <row r="35" spans="2:6" s="3" customFormat="1" x14ac:dyDescent="0.35">
      <c r="B35" s="5">
        <v>25</v>
      </c>
      <c r="C35" s="6">
        <f>IF(B35&lt;='Вхідні дані'!$C$15,-PPMT('Вхідні дані'!$C$21/12,B35,'Вхідні дані'!$C$15,'Вхідні дані'!$C$19,0),0)</f>
        <v>20670.564016065193</v>
      </c>
      <c r="D35" s="6">
        <f>IF(B35&lt;='Вхідні дані'!$C$15,F34*'Вхідні дані'!$C$21/12,0)</f>
        <v>5578.1286188660151</v>
      </c>
      <c r="E35" s="7">
        <f>IF(B35&lt;='Вхідні дані'!$C$15,C35+D35,0)</f>
        <v>26248.692634931209</v>
      </c>
      <c r="F35" s="6">
        <f>IF(B35&lt;='Вхідні дані'!$C$15,F34-C35:C36,0)</f>
        <v>817095.93694003217</v>
      </c>
    </row>
    <row r="36" spans="2:6" s="3" customFormat="1" x14ac:dyDescent="0.35">
      <c r="B36" s="5">
        <v>26</v>
      </c>
      <c r="C36" s="6">
        <f>IF(B36&lt;='Вхідні дані'!$C$15,-PPMT('Вхідні дані'!$C$21/12,B36,'Вхідні дані'!$C$15,'Вхідні дані'!$C$19,0),0)</f>
        <v>20808.19552147216</v>
      </c>
      <c r="D36" s="6">
        <f>IF(B36&lt;='Вхідні дані'!$C$15,F35*'Вхідні дані'!$C$21/12,0)</f>
        <v>5440.4971134590478</v>
      </c>
      <c r="E36" s="7">
        <f>IF(B36&lt;='Вхідні дані'!$C$15,C36+D36,0)</f>
        <v>26248.692634931209</v>
      </c>
      <c r="F36" s="6">
        <f>IF(B36&lt;='Вхідні дані'!$C$15,F35-C36:C37,0)</f>
        <v>796287.74141856004</v>
      </c>
    </row>
    <row r="37" spans="2:6" s="3" customFormat="1" x14ac:dyDescent="0.35">
      <c r="B37" s="5">
        <v>27</v>
      </c>
      <c r="C37" s="6">
        <f>IF(B37&lt;='Вхідні дані'!$C$15,-PPMT('Вхідні дані'!$C$21/12,B37,'Вхідні дані'!$C$15,'Вхідні дані'!$C$19,0),0)</f>
        <v>20946.743423319294</v>
      </c>
      <c r="D37" s="6">
        <f>IF(B37&lt;='Вхідні дані'!$C$15,F36*'Вхідні дані'!$C$21/12,0)</f>
        <v>5301.9492116119118</v>
      </c>
      <c r="E37" s="7">
        <f>IF(B37&lt;='Вхідні дані'!$C$15,C37+D37,0)</f>
        <v>26248.692634931205</v>
      </c>
      <c r="F37" s="6">
        <f>IF(B37&lt;='Вхідні дані'!$C$15,F36-C37:C38,0)</f>
        <v>775340.99799524073</v>
      </c>
    </row>
    <row r="38" spans="2:6" s="3" customFormat="1" x14ac:dyDescent="0.35">
      <c r="B38" s="5">
        <v>28</v>
      </c>
      <c r="C38" s="6">
        <f>IF(B38&lt;='Вхідні дані'!$C$15,-PPMT('Вхідні дані'!$C$21/12,B38,'Вхідні дані'!$C$15,'Вхідні дані'!$C$19,0),0)</f>
        <v>21086.213823279562</v>
      </c>
      <c r="D38" s="6">
        <f>IF(B38&lt;='Вхідні дані'!$C$15,F37*'Вхідні дані'!$C$21/12,0)</f>
        <v>5162.4788116516447</v>
      </c>
      <c r="E38" s="7">
        <f>IF(B38&lt;='Вхідні дані'!$C$15,C38+D38,0)</f>
        <v>26248.692634931205</v>
      </c>
      <c r="F38" s="6">
        <f>IF(B38&lt;='Вхідні дані'!$C$15,F37-C38:C39,0)</f>
        <v>754254.78417196113</v>
      </c>
    </row>
    <row r="39" spans="2:6" s="3" customFormat="1" x14ac:dyDescent="0.35">
      <c r="B39" s="5">
        <v>29</v>
      </c>
      <c r="C39" s="6">
        <f>IF(B39&lt;='Вхідні дані'!$C$15,-PPMT('Вхідні дані'!$C$21/12,B39,'Вхідні дані'!$C$15,'Вхідні дані'!$C$19,0),0)</f>
        <v>21226.612863652896</v>
      </c>
      <c r="D39" s="6">
        <f>IF(B39&lt;='Вхідні дані'!$C$15,F38*'Вхідні дані'!$C$21/12,0)</f>
        <v>5022.0797712783078</v>
      </c>
      <c r="E39" s="7">
        <f>IF(B39&lt;='Вхідні дані'!$C$15,C39+D39,0)</f>
        <v>26248.692634931205</v>
      </c>
      <c r="F39" s="6">
        <f>IF(B39&lt;='Вхідні дані'!$C$15,F38-C39:C40,0)</f>
        <v>733028.17130830826</v>
      </c>
    </row>
    <row r="40" spans="2:6" s="3" customFormat="1" x14ac:dyDescent="0.35">
      <c r="B40" s="5">
        <v>30</v>
      </c>
      <c r="C40" s="6">
        <f>IF(B40&lt;='Вхідні дані'!$C$15,-PPMT('Вхідні дані'!$C$21/12,B40,'Вхідні дані'!$C$15,'Вхідні дані'!$C$19,0),0)</f>
        <v>21367.946727636718</v>
      </c>
      <c r="D40" s="6">
        <f>IF(B40&lt;='Вхідні дані'!$C$15,F39*'Вхідні дані'!$C$21/12,0)</f>
        <v>4880.7459072944857</v>
      </c>
      <c r="E40" s="7">
        <f>IF(B40&lt;='Вхідні дані'!$C$15,C40+D40,0)</f>
        <v>26248.692634931205</v>
      </c>
      <c r="F40" s="6">
        <f>IF(B40&lt;='Вхідні дані'!$C$15,F39-C40:C41,0)</f>
        <v>711660.22458067152</v>
      </c>
    </row>
    <row r="41" spans="2:6" s="3" customFormat="1" x14ac:dyDescent="0.35">
      <c r="B41" s="5">
        <v>31</v>
      </c>
      <c r="C41" s="6">
        <f>IF(B41&lt;='Вхідні дані'!$C$15,-PPMT('Вхідні дані'!$C$21/12,B41,'Вхідні дані'!$C$15,'Вхідні дані'!$C$19,0),0)</f>
        <v>21510.221639598232</v>
      </c>
      <c r="D41" s="6">
        <f>IF(B41&lt;='Вхідні дані'!$C$15,F40*'Вхідні дані'!$C$21/12,0)</f>
        <v>4738.4709953329711</v>
      </c>
      <c r="E41" s="7">
        <f>IF(B41&lt;='Вхідні дані'!$C$15,C41+D41,0)</f>
        <v>26248.692634931205</v>
      </c>
      <c r="F41" s="6">
        <f>IF(B41&lt;='Вхідні дані'!$C$15,F40-C41:C42,0)</f>
        <v>690150.00294107327</v>
      </c>
    </row>
    <row r="42" spans="2:6" s="3" customFormat="1" x14ac:dyDescent="0.35">
      <c r="B42" s="5">
        <v>32</v>
      </c>
      <c r="C42" s="6">
        <f>IF(B42&lt;='Вхідні дані'!$C$15,-PPMT('Вхідні дані'!$C$21/12,B42,'Вхідні дані'!$C$15,'Вхідні дані'!$C$19,0),0)</f>
        <v>21653.443865348559</v>
      </c>
      <c r="D42" s="6">
        <f>IF(B42&lt;='Вхідні дані'!$C$15,F41*'Вхідні дані'!$C$21/12,0)</f>
        <v>4595.2487695826467</v>
      </c>
      <c r="E42" s="7">
        <f>IF(B42&lt;='Вхідні дані'!$C$15,C42+D42,0)</f>
        <v>26248.692634931205</v>
      </c>
      <c r="F42" s="6">
        <f>IF(B42&lt;='Вхідні дані'!$C$15,F41-C42:C43,0)</f>
        <v>668496.55907572468</v>
      </c>
    </row>
    <row r="43" spans="2:6" s="3" customFormat="1" x14ac:dyDescent="0.35">
      <c r="B43" s="5">
        <v>33</v>
      </c>
      <c r="C43" s="6">
        <f>IF(B43&lt;='Вхідні дані'!$C$15,-PPMT('Вхідні дані'!$C$21/12,B43,'Вхідні дані'!$C$15,'Вхідні дані'!$C$19,0),0)</f>
        <v>21797.619712418669</v>
      </c>
      <c r="D43" s="6">
        <f>IF(B43&lt;='Вхідні дані'!$C$15,F42*'Вхідні дані'!$C$21/12,0)</f>
        <v>4451.0729225125333</v>
      </c>
      <c r="E43" s="7">
        <f>IF(B43&lt;='Вхідні дані'!$C$15,C43+D43,0)</f>
        <v>26248.692634931202</v>
      </c>
      <c r="F43" s="6">
        <f>IF(B43&lt;='Вхідні дані'!$C$15,F42-C43:C44,0)</f>
        <v>646698.93936330604</v>
      </c>
    </row>
    <row r="44" spans="2:6" s="3" customFormat="1" x14ac:dyDescent="0.35">
      <c r="B44" s="5">
        <v>34</v>
      </c>
      <c r="C44" s="6">
        <f>IF(B44&lt;='Вхідні дані'!$C$15,-PPMT('Вхідні дані'!$C$21/12,B44,'Вхідні дані'!$C$15,'Вхідні дані'!$C$19,0),0)</f>
        <v>21942.755530337192</v>
      </c>
      <c r="D44" s="6">
        <f>IF(B44&lt;='Вхідні дані'!$C$15,F43*'Вхідні дані'!$C$21/12,0)</f>
        <v>4305.9371045940125</v>
      </c>
      <c r="E44" s="7">
        <f>IF(B44&lt;='Вхідні дані'!$C$15,C44+D44,0)</f>
        <v>26248.692634931205</v>
      </c>
      <c r="F44" s="6">
        <f>IF(B44&lt;='Вхідні дані'!$C$15,F43-C44:C45,0)</f>
        <v>624756.18383296882</v>
      </c>
    </row>
    <row r="45" spans="2:6" s="3" customFormat="1" x14ac:dyDescent="0.35">
      <c r="B45" s="5">
        <v>35</v>
      </c>
      <c r="C45" s="6">
        <f>IF(B45&lt;='Вхідні дані'!$C$15,-PPMT('Вхідні дані'!$C$21/12,B45,'Вхідні дані'!$C$15,'Вхідні дані'!$C$19,0),0)</f>
        <v>22088.857710910022</v>
      </c>
      <c r="D45" s="6">
        <f>IF(B45&lt;='Вхідні дані'!$C$15,F44*'Вхідні дані'!$C$21/12,0)</f>
        <v>4159.8349240211837</v>
      </c>
      <c r="E45" s="7">
        <f>IF(B45&lt;='Вхідні дані'!$C$15,C45+D45,0)</f>
        <v>26248.692634931205</v>
      </c>
      <c r="F45" s="6">
        <f>IF(B45&lt;='Вхідні дані'!$C$15,F44-C45:C46,0)</f>
        <v>602667.32612205879</v>
      </c>
    </row>
    <row r="46" spans="2:6" s="3" customFormat="1" x14ac:dyDescent="0.35">
      <c r="B46" s="5">
        <v>36</v>
      </c>
      <c r="C46" s="6">
        <f>IF(B46&lt;='Вхідні дані'!$C$15,-PPMT('Вхідні дані'!$C$21/12,B46,'Вхідні дані'!$C$15,'Вхідні дані'!$C$19,0),0)</f>
        <v>22235.932688501831</v>
      </c>
      <c r="D46" s="6">
        <f>IF(B46&lt;='Вхідні дані'!$C$15,F45*'Вхідні дані'!$C$21/12,0)</f>
        <v>4012.7599464293748</v>
      </c>
      <c r="E46" s="7">
        <f>IF(B46&lt;='Вхідні дані'!$C$15,C46+D46,0)</f>
        <v>26248.692634931205</v>
      </c>
      <c r="F46" s="6">
        <f>IF(B46&lt;='Вхідні дані'!$C$15,F45-C46:C47,0)</f>
        <v>580431.39343355701</v>
      </c>
    </row>
    <row r="47" spans="2:6" s="3" customFormat="1" x14ac:dyDescent="0.35">
      <c r="B47" s="5">
        <v>37</v>
      </c>
      <c r="C47" s="6">
        <f>IF(B47&lt;='Вхідні дані'!$C$15,-PPMT('Вхідні дані'!$C$21/12,B47,'Вхідні дані'!$C$15,'Вхідні дані'!$C$19,0),0)</f>
        <v>22383.986940319439</v>
      </c>
      <c r="D47" s="6">
        <f>IF(B47&lt;='Вхідні дані'!$C$15,F46*'Вхідні дані'!$C$21/12,0)</f>
        <v>3864.7056946117668</v>
      </c>
      <c r="E47" s="7">
        <f>IF(B47&lt;='Вхідні дані'!$C$15,C47+D47,0)</f>
        <v>26248.692634931205</v>
      </c>
      <c r="F47" s="6">
        <f>IF(B47&lt;='Вхідні дані'!$C$15,F46-C47:C48,0)</f>
        <v>558047.40649323759</v>
      </c>
    </row>
    <row r="48" spans="2:6" s="3" customFormat="1" x14ac:dyDescent="0.35">
      <c r="B48" s="5">
        <v>38</v>
      </c>
      <c r="C48" s="6">
        <f>IF(B48&lt;='Вхідні дані'!$C$15,-PPMT('Вхідні дані'!$C$21/12,B48,'Вхідні дані'!$C$15,'Вхідні дані'!$C$19,0),0)</f>
        <v>22533.026986697067</v>
      </c>
      <c r="D48" s="6">
        <f>IF(B48&lt;='Вхідні дані'!$C$15,F47*'Вхідні дані'!$C$21/12,0)</f>
        <v>3715.6656482341405</v>
      </c>
      <c r="E48" s="7">
        <f>IF(B48&lt;='Вхідні дані'!$C$15,C48+D48,0)</f>
        <v>26248.692634931205</v>
      </c>
      <c r="F48" s="6">
        <f>IF(B48&lt;='Вхідні дані'!$C$15,F47-C48:C49,0)</f>
        <v>535514.37950654048</v>
      </c>
    </row>
    <row r="49" spans="2:6" s="3" customFormat="1" x14ac:dyDescent="0.35">
      <c r="B49" s="5">
        <v>39</v>
      </c>
      <c r="C49" s="6">
        <f>IF(B49&lt;='Вхідні дані'!$C$15,-PPMT('Вхідні дані'!$C$21/12,B49,'Вхідні дані'!$C$15,'Вхідні дані'!$C$19,0),0)</f>
        <v>22683.059391383489</v>
      </c>
      <c r="D49" s="6">
        <f>IF(B49&lt;='Вхідні дані'!$C$15,F48*'Вхідні дані'!$C$21/12,0)</f>
        <v>3565.6332435477157</v>
      </c>
      <c r="E49" s="7">
        <f>IF(B49&lt;='Вхідні дані'!$C$15,C49+D49,0)</f>
        <v>26248.692634931205</v>
      </c>
      <c r="F49" s="6">
        <f>IF(B49&lt;='Вхідні дані'!$C$15,F48-C49:C50,0)</f>
        <v>512831.320115157</v>
      </c>
    </row>
    <row r="50" spans="2:6" s="3" customFormat="1" x14ac:dyDescent="0.35">
      <c r="B50" s="5">
        <v>40</v>
      </c>
      <c r="C50" s="6">
        <f>IF(B50&lt;='Вхідні дані'!$C$15,-PPMT('Вхідні дані'!$C$21/12,B50,'Вхідні дані'!$C$15,'Вхідні дані'!$C$19,0),0)</f>
        <v>22834.090761831118</v>
      </c>
      <c r="D50" s="6">
        <f>IF(B50&lt;='Вхідні дані'!$C$15,F49*'Вхідні дані'!$C$21/12,0)</f>
        <v>3414.6018731000872</v>
      </c>
      <c r="E50" s="7">
        <f>IF(B50&lt;='Вхідні дані'!$C$15,C50+D50,0)</f>
        <v>26248.692634931205</v>
      </c>
      <c r="F50" s="6">
        <f>IF(B50&lt;='Вхідні дані'!$C$15,F49-C50:C51,0)</f>
        <v>489997.22935332591</v>
      </c>
    </row>
    <row r="51" spans="2:6" s="3" customFormat="1" x14ac:dyDescent="0.35">
      <c r="B51" s="5">
        <v>41</v>
      </c>
      <c r="C51" s="6">
        <f>IF(B51&lt;='Вхідні дані'!$C$15,-PPMT('Вхідні дані'!$C$21/12,B51,'Вхідні дані'!$C$15,'Вхідні дані'!$C$19,0),0)</f>
        <v>22986.127749486976</v>
      </c>
      <c r="D51" s="6">
        <f>IF(B51&lt;='Вхідні дані'!$C$15,F50*'Вхідні дані'!$C$21/12,0)</f>
        <v>3262.5648854442284</v>
      </c>
      <c r="E51" s="7">
        <f>IF(B51&lt;='Вхідні дані'!$C$15,C51+D51,0)</f>
        <v>26248.692634931205</v>
      </c>
      <c r="F51" s="6">
        <f>IF(B51&lt;='Вхідні дані'!$C$15,F50-C51:C52,0)</f>
        <v>467011.10160383891</v>
      </c>
    </row>
    <row r="52" spans="2:6" s="3" customFormat="1" x14ac:dyDescent="0.35">
      <c r="B52" s="5">
        <v>42</v>
      </c>
      <c r="C52" s="6">
        <f>IF(B52&lt;='Вхідні дані'!$C$15,-PPMT('Вхідні дані'!$C$21/12,B52,'Вхідні дані'!$C$15,'Вхідні дані'!$C$19,0),0)</f>
        <v>23139.177050085644</v>
      </c>
      <c r="D52" s="6">
        <f>IF(B52&lt;='Вхідні дані'!$C$15,F51*'Вхідні дані'!$C$21/12,0)</f>
        <v>3109.5155848455611</v>
      </c>
      <c r="E52" s="7">
        <f>IF(B52&lt;='Вхідні дані'!$C$15,C52+D52,0)</f>
        <v>26248.692634931205</v>
      </c>
      <c r="F52" s="6">
        <f>IF(B52&lt;='Вхідні дані'!$C$15,F51-C52:C53,0)</f>
        <v>443871.92455375328</v>
      </c>
    </row>
    <row r="53" spans="2:6" s="3" customFormat="1" x14ac:dyDescent="0.35">
      <c r="B53" s="5">
        <v>43</v>
      </c>
      <c r="C53" s="6">
        <f>IF(B53&lt;='Вхідні дані'!$C$15,-PPMT('Вхідні дані'!$C$21/12,B53,'Вхідні дані'!$C$15,'Вхідні дані'!$C$19,0),0)</f>
        <v>23293.245403944133</v>
      </c>
      <c r="D53" s="6">
        <f>IF(B53&lt;='Вхідні дані'!$C$15,F52*'Вхідні дані'!$C$21/12,0)</f>
        <v>2955.4472309870739</v>
      </c>
      <c r="E53" s="7">
        <f>IF(B53&lt;='Вхідні дані'!$C$15,C53+D53,0)</f>
        <v>26248.692634931205</v>
      </c>
      <c r="F53" s="6">
        <f>IF(B53&lt;='Вхідні дані'!$C$15,F52-C53:C54,0)</f>
        <v>420578.67914980918</v>
      </c>
    </row>
    <row r="54" spans="2:6" s="3" customFormat="1" x14ac:dyDescent="0.35">
      <c r="B54" s="5">
        <v>44</v>
      </c>
      <c r="C54" s="6">
        <f>IF(B54&lt;='Вхідні дані'!$C$15,-PPMT('Вхідні дані'!$C$21/12,B54,'Вхідні дані'!$C$15,'Вхідні дані'!$C$19,0),0)</f>
        <v>23448.339596258727</v>
      </c>
      <c r="D54" s="6">
        <f>IF(B54&lt;='Вхідні дані'!$C$15,F53*'Вхідні дані'!$C$21/12,0)</f>
        <v>2800.3530386724797</v>
      </c>
      <c r="E54" s="7">
        <f>IF(B54&lt;='Вхідні дані'!$C$15,C54+D54,0)</f>
        <v>26248.692634931205</v>
      </c>
      <c r="F54" s="6">
        <f>IF(B54&lt;='Вхідні дані'!$C$15,F53-C54:C55,0)</f>
        <v>397130.33955355047</v>
      </c>
    </row>
    <row r="55" spans="2:6" s="3" customFormat="1" x14ac:dyDescent="0.35">
      <c r="B55" s="5">
        <v>45</v>
      </c>
      <c r="C55" s="6">
        <f>IF(B55&lt;='Вхідні дані'!$C$15,-PPMT('Вхідні дані'!$C$21/12,B55,'Вхідні дані'!$C$15,'Вхідні дані'!$C$19,0),0)</f>
        <v>23604.466457403814</v>
      </c>
      <c r="D55" s="6">
        <f>IF(B55&lt;='Вхідні дані'!$C$15,F54*'Вхідні дані'!$C$21/12,0)</f>
        <v>2644.2261775273901</v>
      </c>
      <c r="E55" s="7">
        <f>IF(B55&lt;='Вхідні дані'!$C$15,C55+D55,0)</f>
        <v>26248.692634931205</v>
      </c>
      <c r="F55" s="6">
        <f>IF(B55&lt;='Вхідні дані'!$C$15,F54-C55:C56,0)</f>
        <v>373525.87309614668</v>
      </c>
    </row>
    <row r="56" spans="2:6" s="3" customFormat="1" x14ac:dyDescent="0.35">
      <c r="B56" s="5">
        <v>46</v>
      </c>
      <c r="C56" s="6">
        <f>IF(B56&lt;='Вхідні дані'!$C$15,-PPMT('Вхідні дані'!$C$21/12,B56,'Вхідні дані'!$C$15,'Вхідні дані'!$C$19,0),0)</f>
        <v>23761.632863232695</v>
      </c>
      <c r="D56" s="6">
        <f>IF(B56&lt;='Вхідні дані'!$C$15,F55*'Вхідні дані'!$C$21/12,0)</f>
        <v>2487.0597716985098</v>
      </c>
      <c r="E56" s="7">
        <f>IF(B56&lt;='Вхідні дані'!$C$15,C56+D56,0)</f>
        <v>26248.692634931205</v>
      </c>
      <c r="F56" s="6">
        <f>IF(B56&lt;='Вхідні дані'!$C$15,F55-C56:C57,0)</f>
        <v>349764.24023291399</v>
      </c>
    </row>
    <row r="57" spans="2:6" s="3" customFormat="1" x14ac:dyDescent="0.35">
      <c r="B57" s="5">
        <v>47</v>
      </c>
      <c r="C57" s="6">
        <f>IF(B57&lt;='Вхідні дані'!$C$15,-PPMT('Вхідні дані'!$C$21/12,B57,'Вхідні дані'!$C$15,'Вхідні дані'!$C$19,0),0)</f>
        <v>23919.845735380386</v>
      </c>
      <c r="D57" s="6">
        <f>IF(B57&lt;='Вхідні дані'!$C$15,F56*'Вхідні дані'!$C$21/12,0)</f>
        <v>2328.8468995508188</v>
      </c>
      <c r="E57" s="7">
        <f>IF(B57&lt;='Вхідні дані'!$C$15,C57+D57,0)</f>
        <v>26248.692634931205</v>
      </c>
      <c r="F57" s="6">
        <f>IF(B57&lt;='Вхідні дані'!$C$15,F56-C57:C58,0)</f>
        <v>325844.39449753362</v>
      </c>
    </row>
    <row r="58" spans="2:6" s="3" customFormat="1" x14ac:dyDescent="0.35">
      <c r="B58" s="5">
        <v>48</v>
      </c>
      <c r="C58" s="6">
        <f>IF(B58&lt;='Вхідні дані'!$C$15,-PPMT('Вхідні дані'!$C$21/12,B58,'Вхідні дані'!$C$15,'Вхідні дані'!$C$19,0),0)</f>
        <v>24079.112041568464</v>
      </c>
      <c r="D58" s="6">
        <f>IF(B58&lt;='Вхідні дані'!$C$15,F57*'Вхідні дані'!$C$21/12,0)</f>
        <v>2169.5805933627448</v>
      </c>
      <c r="E58" s="7">
        <f>IF(B58&lt;='Вхідні дані'!$C$15,C58+D58,0)</f>
        <v>26248.692634931209</v>
      </c>
      <c r="F58" s="6">
        <f>IF(B58&lt;='Вхідні дані'!$C$15,F57-C58:C59,0)</f>
        <v>301765.28245596518</v>
      </c>
    </row>
    <row r="59" spans="2:6" s="3" customFormat="1" x14ac:dyDescent="0.35">
      <c r="B59" s="5">
        <v>49</v>
      </c>
      <c r="C59" s="6">
        <f>IF(B59&lt;='Вхідні дані'!$C$15,-PPMT('Вхідні дані'!$C$21/12,B59,'Вхідні дані'!$C$15,'Вхідні дані'!$C$19,0),0)</f>
        <v>24239.438795911905</v>
      </c>
      <c r="D59" s="6">
        <f>IF(B59&lt;='Вхідні дані'!$C$15,F58*'Вхідні дані'!$C$21/12,0)</f>
        <v>2009.2538390193015</v>
      </c>
      <c r="E59" s="7">
        <f>IF(B59&lt;='Вхідні дані'!$C$15,C59+D59,0)</f>
        <v>26248.692634931205</v>
      </c>
      <c r="F59" s="6">
        <f>IF(B59&lt;='Вхідні дані'!$C$15,F58-C59:C60,0)</f>
        <v>277525.84366005327</v>
      </c>
    </row>
    <row r="60" spans="2:6" s="3" customFormat="1" x14ac:dyDescent="0.35">
      <c r="B60" s="5">
        <v>50</v>
      </c>
      <c r="C60" s="6">
        <f>IF(B60&lt;='Вхідні дані'!$C$15,-PPMT('Вхідні дані'!$C$21/12,B60,'Вхідні дані'!$C$15,'Вхідні дані'!$C$19,0),0)</f>
        <v>24400.833059228018</v>
      </c>
      <c r="D60" s="6">
        <f>IF(B60&lt;='Вхідні дані'!$C$15,F59*'Вхідні дані'!$C$21/12,0)</f>
        <v>1847.8595757031881</v>
      </c>
      <c r="E60" s="7">
        <f>IF(B60&lt;='Вхідні дані'!$C$15,C60+D60,0)</f>
        <v>26248.692634931205</v>
      </c>
      <c r="F60" s="6">
        <f>IF(B60&lt;='Вхідні дані'!$C$15,F59-C60:C61,0)</f>
        <v>253125.01060082525</v>
      </c>
    </row>
    <row r="61" spans="2:6" s="3" customFormat="1" x14ac:dyDescent="0.35">
      <c r="B61" s="5">
        <v>51</v>
      </c>
      <c r="C61" s="6">
        <f>IF(B61&lt;='Вхідні дані'!$C$15,-PPMT('Вхідні дані'!$C$21/12,B61,'Вхідні дані'!$C$15,'Вхідні дані'!$C$19,0),0)</f>
        <v>24563.301939347381</v>
      </c>
      <c r="D61" s="6">
        <f>IF(B61&lt;='Вхідні дані'!$C$15,F60*'Вхідні дані'!$C$21/12,0)</f>
        <v>1685.3906955838281</v>
      </c>
      <c r="E61" s="7">
        <f>IF(B61&lt;='Вхідні дані'!$C$15,C61+D61,0)</f>
        <v>26248.692634931209</v>
      </c>
      <c r="F61" s="6">
        <f>IF(B61&lt;='Вхідні дані'!$C$15,F60-C61:C62,0)</f>
        <v>228561.70866147787</v>
      </c>
    </row>
    <row r="62" spans="2:6" s="3" customFormat="1" x14ac:dyDescent="0.35">
      <c r="B62" s="5">
        <v>52</v>
      </c>
      <c r="C62" s="6">
        <f>IF(B62&lt;='Вхідні дані'!$C$15,-PPMT('Вхідні дані'!$C$21/12,B62,'Вхідні дані'!$C$15,'Вхідні дані'!$C$19,0),0)</f>
        <v>24726.852591426868</v>
      </c>
      <c r="D62" s="6">
        <f>IF(B62&lt;='Вхідні дані'!$C$15,F61*'Вхідні дані'!$C$21/12,0)</f>
        <v>1521.8400435043402</v>
      </c>
      <c r="E62" s="7">
        <f>IF(B62&lt;='Вхідні дані'!$C$15,C62+D62,0)</f>
        <v>26248.692634931209</v>
      </c>
      <c r="F62" s="6">
        <f>IF(B62&lt;='Вхідні дані'!$C$15,F61-C62:C63,0)</f>
        <v>203834.856070051</v>
      </c>
    </row>
    <row r="63" spans="2:6" s="3" customFormat="1" x14ac:dyDescent="0.35">
      <c r="B63" s="5">
        <v>53</v>
      </c>
      <c r="C63" s="6">
        <f>IF(B63&lt;='Вхідні дані'!$C$15,-PPMT('Вхідні дані'!$C$21/12,B63,'Вхідні дані'!$C$15,'Вхідні дані'!$C$19,0),0)</f>
        <v>24891.492218264782</v>
      </c>
      <c r="D63" s="6">
        <f>IF(B63&lt;='Вхідні дані'!$C$15,F62*'Вхідні дані'!$C$21/12,0)</f>
        <v>1357.2004166664228</v>
      </c>
      <c r="E63" s="7">
        <f>IF(B63&lt;='Вхідні дані'!$C$15,C63+D63,0)</f>
        <v>26248.692634931205</v>
      </c>
      <c r="F63" s="6">
        <f>IF(B63&lt;='Вхідні дані'!$C$15,F62-C63:C64,0)</f>
        <v>178943.36385178621</v>
      </c>
    </row>
    <row r="64" spans="2:6" s="3" customFormat="1" x14ac:dyDescent="0.35">
      <c r="B64" s="5">
        <v>54</v>
      </c>
      <c r="C64" s="6">
        <f>IF(B64&lt;='Вхідні дані'!$C$15,-PPMT('Вхідні дані'!$C$21/12,B64,'Вхідні дані'!$C$15,'Вхідні дані'!$C$19,0),0)</f>
        <v>25057.228070618065</v>
      </c>
      <c r="D64" s="6">
        <f>IF(B64&lt;='Вхідні дані'!$C$15,F63*'Вхідні дані'!$C$21/12,0)</f>
        <v>1191.4645643131432</v>
      </c>
      <c r="E64" s="7">
        <f>IF(B64&lt;='Вхідні дані'!$C$15,C64+D64,0)</f>
        <v>26248.692634931209</v>
      </c>
      <c r="F64" s="6">
        <f>IF(B64&lt;='Вхідні дані'!$C$15,F63-C64:C65,0)</f>
        <v>153886.13578116815</v>
      </c>
    </row>
    <row r="65" spans="2:6" s="3" customFormat="1" x14ac:dyDescent="0.35">
      <c r="B65" s="5">
        <v>55</v>
      </c>
      <c r="C65" s="6">
        <f>IF(B65&lt;='Вхідні дані'!$C$15,-PPMT('Вхідні дані'!$C$21/12,B65,'Вхідні дані'!$C$15,'Вхідні дані'!$C$19,0),0)</f>
        <v>25224.067447521593</v>
      </c>
      <c r="D65" s="6">
        <f>IF(B65&lt;='Вхідні дані'!$C$15,F64*'Вхідні дані'!$C$21/12,0)</f>
        <v>1024.6251874096113</v>
      </c>
      <c r="E65" s="7">
        <f>IF(B65&lt;='Вхідні дані'!$C$15,C65+D65,0)</f>
        <v>26248.692634931205</v>
      </c>
      <c r="F65" s="6">
        <f>IF(B65&lt;='Вхідні дані'!$C$15,F64-C65:C66,0)</f>
        <v>128662.06833364656</v>
      </c>
    </row>
    <row r="66" spans="2:6" s="3" customFormat="1" x14ac:dyDescent="0.35">
      <c r="B66" s="5">
        <v>56</v>
      </c>
      <c r="C66" s="6">
        <f>IF(B66&lt;='Вхідні дані'!$C$15,-PPMT('Вхідні дані'!$C$21/12,B66,'Вхідні дані'!$C$15,'Вхідні дані'!$C$19,0),0)</f>
        <v>25392.017696609677</v>
      </c>
      <c r="D66" s="6">
        <f>IF(B66&lt;='Вхідні дані'!$C$15,F65*'Вхідні дані'!$C$21/12,0)</f>
        <v>856.67493832153002</v>
      </c>
      <c r="E66" s="7">
        <f>IF(B66&lt;='Вхідні дані'!$C$15,C66+D66,0)</f>
        <v>26248.692634931205</v>
      </c>
      <c r="F66" s="6">
        <f>IF(B66&lt;='Вхідні дані'!$C$15,F65-C66:C67,0)</f>
        <v>103270.05063703688</v>
      </c>
    </row>
    <row r="67" spans="2:6" s="3" customFormat="1" x14ac:dyDescent="0.35">
      <c r="B67" s="5">
        <v>57</v>
      </c>
      <c r="C67" s="6">
        <f>IF(B67&lt;='Вхідні дані'!$C$15,-PPMT('Вхідні дані'!$C$21/12,B67,'Вхідні дані'!$C$15,'Вхідні дані'!$C$19,0),0)</f>
        <v>25561.086214439601</v>
      </c>
      <c r="D67" s="6">
        <f>IF(B67&lt;='Вхідні дані'!$C$15,F66*'Вхідні дані'!$C$21/12,0)</f>
        <v>687.6064204916039</v>
      </c>
      <c r="E67" s="7">
        <f>IF(B67&lt;='Вхідні дані'!$C$15,C67+D67,0)</f>
        <v>26248.692634931205</v>
      </c>
      <c r="F67" s="6">
        <f>IF(B67&lt;='Вхідні дані'!$C$15,F66-C67:C68,0)</f>
        <v>77708.964422597288</v>
      </c>
    </row>
    <row r="68" spans="2:6" s="3" customFormat="1" x14ac:dyDescent="0.35">
      <c r="B68" s="5">
        <v>58</v>
      </c>
      <c r="C68" s="6">
        <f>IF(B68&lt;='Вхідні дані'!$C$15,-PPMT('Вхідні дані'!$C$21/12,B68,'Вхідні дані'!$C$15,'Вхідні дані'!$C$19,0),0)</f>
        <v>25731.280446817411</v>
      </c>
      <c r="D68" s="6">
        <f>IF(B68&lt;='Вхідні дані'!$C$15,F67*'Вхідні дані'!$C$21/12,0)</f>
        <v>517.4121881137936</v>
      </c>
      <c r="E68" s="7">
        <f>IF(B68&lt;='Вхідні дані'!$C$15,C68+D68,0)</f>
        <v>26248.692634931205</v>
      </c>
      <c r="F68" s="6">
        <f>IF(B68&lt;='Вхідні дані'!$C$15,F67-C68:C69,0)</f>
        <v>51977.683975779873</v>
      </c>
    </row>
    <row r="69" spans="2:6" s="3" customFormat="1" x14ac:dyDescent="0.35">
      <c r="B69" s="5">
        <v>59</v>
      </c>
      <c r="C69" s="6">
        <f>IF(B69&lt;='Вхідні дані'!$C$15,-PPMT('Вхідні дані'!$C$21/12,B69,'Вхідні дані'!$C$15,'Вхідні дані'!$C$19,0),0)</f>
        <v>25902.607889125804</v>
      </c>
      <c r="D69" s="6">
        <f>IF(B69&lt;='Вхідні дані'!$C$15,F68*'Вхідні дані'!$C$21/12,0)</f>
        <v>346.08474580540104</v>
      </c>
      <c r="E69" s="7">
        <f>IF(B69&lt;='Вхідні дані'!$C$15,C69+D69,0)</f>
        <v>26248.692634931205</v>
      </c>
      <c r="F69" s="6">
        <f>IF(B69&lt;='Вхідні дані'!$C$15,F68-C69:C70,0)</f>
        <v>26075.07608665407</v>
      </c>
    </row>
    <row r="70" spans="2:6" s="3" customFormat="1" x14ac:dyDescent="0.35">
      <c r="B70" s="5">
        <v>60</v>
      </c>
      <c r="C70" s="6">
        <f>IF(B70&lt;='Вхідні дані'!$C$15,-PPMT('Вхідні дані'!$C$21/12,B70,'Вхідні дані'!$C$15,'Вхідні дані'!$C$19,0),0)</f>
        <v>26075.076086654233</v>
      </c>
      <c r="D70" s="6">
        <f>IF(B70&lt;='Вхідні дані'!$C$15,F69*'Вхідні дані'!$C$21/12,0)</f>
        <v>173.61654827697168</v>
      </c>
      <c r="E70" s="7">
        <f>IF(B70&lt;='Вхідні дані'!$C$15,C70+D70,0)</f>
        <v>26248.692634931205</v>
      </c>
      <c r="F70" s="6">
        <f>IF(B70&lt;='Вхідні дані'!$C$15,F69-C70:C71,0)</f>
        <v>-1.6370904631912708E-10</v>
      </c>
    </row>
    <row r="71" spans="2:6" s="3" customFormat="1" x14ac:dyDescent="0.35">
      <c r="B71" s="5">
        <v>61</v>
      </c>
      <c r="C71" s="6">
        <f>IF(B71&lt;='Вхідні дані'!$C$15,-PPMT('Вхідні дані'!$C$21/12,B71,'Вхідні дані'!$C$15,'Вхідні дані'!$C$19,0),0)</f>
        <v>0</v>
      </c>
      <c r="D71" s="6">
        <f>IF(B71&lt;='Вхідні дані'!$C$15,F70*'Вхідні дані'!$C$21/12,0)</f>
        <v>0</v>
      </c>
      <c r="E71" s="7">
        <f>IF(B71&lt;='Вхідні дані'!$C$15,C71+D71,0)</f>
        <v>0</v>
      </c>
      <c r="F71" s="6">
        <f>IF(B71&lt;='Вхідні дані'!$C$15,F70-C71:C72,0)</f>
        <v>0</v>
      </c>
    </row>
    <row r="72" spans="2:6" s="3" customFormat="1" x14ac:dyDescent="0.35">
      <c r="B72" s="5">
        <v>62</v>
      </c>
      <c r="C72" s="6">
        <f>IF(B72&lt;='Вхідні дані'!$C$15,-PPMT('Вхідні дані'!$C$21/12,B72,'Вхідні дані'!$C$15,'Вхідні дані'!$C$19,0),0)</f>
        <v>0</v>
      </c>
      <c r="D72" s="6">
        <f>IF(B72&lt;='Вхідні дані'!$C$15,F71*'Вхідні дані'!$C$21/12,0)</f>
        <v>0</v>
      </c>
      <c r="E72" s="7">
        <f>IF(B72&lt;='Вхідні дані'!$C$15,C72+D72,0)</f>
        <v>0</v>
      </c>
      <c r="F72" s="6">
        <f>IF(B72&lt;='Вхідні дані'!$C$15,F71-C72:C73,0)</f>
        <v>0</v>
      </c>
    </row>
    <row r="73" spans="2:6" s="3" customFormat="1" x14ac:dyDescent="0.35">
      <c r="B73" s="5">
        <v>63</v>
      </c>
      <c r="C73" s="6">
        <f>IF(B73&lt;='Вхідні дані'!$C$15,-PPMT('Вхідні дані'!$C$21/12,B73,'Вхідні дані'!$C$15,'Вхідні дані'!$C$19,0),0)</f>
        <v>0</v>
      </c>
      <c r="D73" s="6">
        <f>IF(B73&lt;='Вхідні дані'!$C$15,F72*'Вхідні дані'!$C$21/12,0)</f>
        <v>0</v>
      </c>
      <c r="E73" s="7">
        <f>IF(B73&lt;='Вхідні дані'!$C$15,C73+D73,0)</f>
        <v>0</v>
      </c>
      <c r="F73" s="6">
        <f>IF(B73&lt;='Вхідні дані'!$C$15,F72-C73:C74,0)</f>
        <v>0</v>
      </c>
    </row>
    <row r="74" spans="2:6" s="3" customFormat="1" x14ac:dyDescent="0.35">
      <c r="B74" s="5">
        <v>64</v>
      </c>
      <c r="C74" s="6">
        <f>IF(B74&lt;='Вхідні дані'!$C$15,-PPMT('Вхідні дані'!$C$21/12,B74,'Вхідні дані'!$C$15,'Вхідні дані'!$C$19,0),0)</f>
        <v>0</v>
      </c>
      <c r="D74" s="6">
        <f>IF(B74&lt;='Вхідні дані'!$C$15,F73*'Вхідні дані'!$C$21/12,0)</f>
        <v>0</v>
      </c>
      <c r="E74" s="7">
        <f>IF(B74&lt;='Вхідні дані'!$C$15,C74+D74,0)</f>
        <v>0</v>
      </c>
      <c r="F74" s="6">
        <f>IF(B74&lt;='Вхідні дані'!$C$15,F73-C74:C75,0)</f>
        <v>0</v>
      </c>
    </row>
    <row r="75" spans="2:6" s="3" customFormat="1" x14ac:dyDescent="0.35">
      <c r="B75" s="5">
        <v>65</v>
      </c>
      <c r="C75" s="6">
        <f>IF(B75&lt;='Вхідні дані'!$C$15,-PPMT('Вхідні дані'!$C$21/12,B75,'Вхідні дані'!$C$15,'Вхідні дані'!$C$19,0),0)</f>
        <v>0</v>
      </c>
      <c r="D75" s="6">
        <f>IF(B75&lt;='Вхідні дані'!$C$15,F74*'Вхідні дані'!$C$21/12,0)</f>
        <v>0</v>
      </c>
      <c r="E75" s="7">
        <f>IF(B75&lt;='Вхідні дані'!$C$15,C75+D75,0)</f>
        <v>0</v>
      </c>
      <c r="F75" s="6">
        <f>IF(B75&lt;='Вхідні дані'!$C$15,F74-C75:C76,0)</f>
        <v>0</v>
      </c>
    </row>
    <row r="76" spans="2:6" s="3" customFormat="1" x14ac:dyDescent="0.35">
      <c r="B76" s="5">
        <v>66</v>
      </c>
      <c r="C76" s="6">
        <f>IF(B76&lt;='Вхідні дані'!$C$15,-PPMT('Вхідні дані'!$C$21/12,B76,'Вхідні дані'!$C$15,'Вхідні дані'!$C$19,0),0)</f>
        <v>0</v>
      </c>
      <c r="D76" s="6">
        <f>IF(B76&lt;='Вхідні дані'!$C$15,F75*'Вхідні дані'!$C$21/12,0)</f>
        <v>0</v>
      </c>
      <c r="E76" s="7">
        <f>IF(B76&lt;='Вхідні дані'!$C$15,C76+D76,0)</f>
        <v>0</v>
      </c>
      <c r="F76" s="6">
        <f>IF(B76&lt;='Вхідні дані'!$C$15,F75-C76:C77,0)</f>
        <v>0</v>
      </c>
    </row>
    <row r="77" spans="2:6" s="3" customFormat="1" x14ac:dyDescent="0.35">
      <c r="B77" s="5">
        <v>67</v>
      </c>
      <c r="C77" s="6">
        <f>IF(B77&lt;='Вхідні дані'!$C$15,-PPMT('Вхідні дані'!$C$21/12,B77,'Вхідні дані'!$C$15,'Вхідні дані'!$C$19,0),0)</f>
        <v>0</v>
      </c>
      <c r="D77" s="6">
        <f>IF(B77&lt;='Вхідні дані'!$C$15,F76*'Вхідні дані'!$C$21/12,0)</f>
        <v>0</v>
      </c>
      <c r="E77" s="7">
        <f>IF(B77&lt;='Вхідні дані'!$C$15,C77+D77,0)</f>
        <v>0</v>
      </c>
      <c r="F77" s="6">
        <f>IF(B77&lt;='Вхідні дані'!$C$15,F76-C77:C78,0)</f>
        <v>0</v>
      </c>
    </row>
    <row r="78" spans="2:6" s="3" customFormat="1" x14ac:dyDescent="0.35">
      <c r="B78" s="5">
        <v>68</v>
      </c>
      <c r="C78" s="6">
        <f>IF(B78&lt;='Вхідні дані'!$C$15,-PPMT('Вхідні дані'!$C$21/12,B78,'Вхідні дані'!$C$15,'Вхідні дані'!$C$19,0),0)</f>
        <v>0</v>
      </c>
      <c r="D78" s="6">
        <f>IF(B78&lt;='Вхідні дані'!$C$15,F77*'Вхідні дані'!$C$21/12,0)</f>
        <v>0</v>
      </c>
      <c r="E78" s="7">
        <f>IF(B78&lt;='Вхідні дані'!$C$15,C78+D78,0)</f>
        <v>0</v>
      </c>
      <c r="F78" s="6">
        <f>IF(B78&lt;='Вхідні дані'!$C$15,F77-C78:C79,0)</f>
        <v>0</v>
      </c>
    </row>
    <row r="79" spans="2:6" s="3" customFormat="1" x14ac:dyDescent="0.35">
      <c r="B79" s="5">
        <v>69</v>
      </c>
      <c r="C79" s="6">
        <f>IF(B79&lt;='Вхідні дані'!$C$15,-PPMT('Вхідні дані'!$C$21/12,B79,'Вхідні дані'!$C$15,'Вхідні дані'!$C$19,0),0)</f>
        <v>0</v>
      </c>
      <c r="D79" s="6">
        <f>IF(B79&lt;='Вхідні дані'!$C$15,F78*'Вхідні дані'!$C$21/12,0)</f>
        <v>0</v>
      </c>
      <c r="E79" s="7">
        <f>IF(B79&lt;='Вхідні дані'!$C$15,C79+D79,0)</f>
        <v>0</v>
      </c>
      <c r="F79" s="6">
        <f>IF(B79&lt;='Вхідні дані'!$C$15,F78-C79:C80,0)</f>
        <v>0</v>
      </c>
    </row>
    <row r="80" spans="2:6" s="3" customFormat="1" x14ac:dyDescent="0.35">
      <c r="B80" s="5">
        <v>70</v>
      </c>
      <c r="C80" s="6">
        <f>IF(B80&lt;='Вхідні дані'!$C$15,-PPMT('Вхідні дані'!$C$21/12,B80,'Вхідні дані'!$C$15,'Вхідні дані'!$C$19,0),0)</f>
        <v>0</v>
      </c>
      <c r="D80" s="6">
        <f>IF(B80&lt;='Вхідні дані'!$C$15,F79*'Вхідні дані'!$C$21/12,0)</f>
        <v>0</v>
      </c>
      <c r="E80" s="7">
        <f>IF(B80&lt;='Вхідні дані'!$C$15,C80+D80,0)</f>
        <v>0</v>
      </c>
      <c r="F80" s="6">
        <f>IF(B80&lt;='Вхідні дані'!$C$15,F79-C80:C81,0)</f>
        <v>0</v>
      </c>
    </row>
    <row r="81" spans="2:8" x14ac:dyDescent="0.35">
      <c r="B81" s="5">
        <v>71</v>
      </c>
      <c r="C81" s="6">
        <f>IF(B81&lt;='Вхідні дані'!$C$15,-PPMT('Вхідні дані'!$C$21/12,B81,'Вхідні дані'!$C$15,'Вхідні дані'!$C$19,0),0)</f>
        <v>0</v>
      </c>
      <c r="D81" s="6">
        <f>IF(B81&lt;='Вхідні дані'!$C$15,F80*'Вхідні дані'!$C$21/12,0)</f>
        <v>0</v>
      </c>
      <c r="E81" s="7">
        <f>IF(B81&lt;='Вхідні дані'!$C$15,C81+D81,0)</f>
        <v>0</v>
      </c>
      <c r="F81" s="6">
        <f>IF(B81&lt;='Вхідні дані'!$C$15,F80-C81:C82,0)</f>
        <v>0</v>
      </c>
      <c r="G81" s="3"/>
      <c r="H81" s="3"/>
    </row>
    <row r="82" spans="2:8" x14ac:dyDescent="0.35">
      <c r="B82" s="5">
        <v>72</v>
      </c>
      <c r="C82" s="6">
        <f>IF(B82&lt;='Вхідні дані'!$C$15,-PPMT('Вхідні дані'!$C$21/12,B82,'Вхідні дані'!$C$15,'Вхідні дані'!$C$19,0),0)</f>
        <v>0</v>
      </c>
      <c r="D82" s="6">
        <f>IF(B82&lt;='Вхідні дані'!$C$15,F81*'Вхідні дані'!$C$21/12,0)</f>
        <v>0</v>
      </c>
      <c r="E82" s="7">
        <f>IF(B82&lt;='Вхідні дані'!$C$15,C82+D82,0)</f>
        <v>0</v>
      </c>
      <c r="F82" s="6">
        <f>IF(B82&lt;='Вхідні дані'!$C$15,F81-C82:C83,0)</f>
        <v>0</v>
      </c>
      <c r="G82" s="3"/>
      <c r="H82" s="3"/>
    </row>
    <row r="83" spans="2:8" x14ac:dyDescent="0.35">
      <c r="B83" s="5">
        <v>73</v>
      </c>
      <c r="C83" s="6">
        <f>IF(B83&lt;='Вхідні дані'!$C$15,-PPMT('Вхідні дані'!$C$21/12,B83,'Вхідні дані'!$C$15,'Вхідні дані'!$C$19,0),0)</f>
        <v>0</v>
      </c>
      <c r="D83" s="6">
        <f>IF(B83&lt;='Вхідні дані'!$C$15,F82*'Вхідні дані'!$C$21/12,0)</f>
        <v>0</v>
      </c>
      <c r="E83" s="7">
        <f>IF(B83&lt;='Вхідні дані'!$C$15,C83+D83,0)</f>
        <v>0</v>
      </c>
      <c r="F83" s="6">
        <f>IF(B83&lt;='Вхідні дані'!$C$15,F82-C83:C84,0)</f>
        <v>0</v>
      </c>
      <c r="G83" s="3"/>
      <c r="H83" s="3"/>
    </row>
    <row r="84" spans="2:8" x14ac:dyDescent="0.35">
      <c r="B84" s="5">
        <v>74</v>
      </c>
      <c r="C84" s="6">
        <f>IF(B84&lt;='Вхідні дані'!$C$15,-PPMT('Вхідні дані'!$C$21/12,B84,'Вхідні дані'!$C$15,'Вхідні дані'!$C$19,0),0)</f>
        <v>0</v>
      </c>
      <c r="D84" s="6">
        <f>IF(B84&lt;='Вхідні дані'!$C$15,F83*'Вхідні дані'!$C$21/12,0)</f>
        <v>0</v>
      </c>
      <c r="E84" s="7">
        <f>IF(B84&lt;='Вхідні дані'!$C$15,C84+D84,0)</f>
        <v>0</v>
      </c>
      <c r="F84" s="6">
        <f>IF(B84&lt;='Вхідні дані'!$C$15,F83-C84:C85,0)</f>
        <v>0</v>
      </c>
      <c r="G84" s="3"/>
      <c r="H84" s="3"/>
    </row>
    <row r="85" spans="2:8" x14ac:dyDescent="0.35">
      <c r="B85" s="5">
        <v>75</v>
      </c>
      <c r="C85" s="6">
        <f>IF(B85&lt;='Вхідні дані'!$C$15,-PPMT('Вхідні дані'!$C$21/12,B85,'Вхідні дані'!$C$15,'Вхідні дані'!$C$19,0),0)</f>
        <v>0</v>
      </c>
      <c r="D85" s="6">
        <f>IF(B85&lt;='Вхідні дані'!$C$15,F84*'Вхідні дані'!$C$21/12,0)</f>
        <v>0</v>
      </c>
      <c r="E85" s="7">
        <f>IF(B85&lt;='Вхідні дані'!$C$15,C85+D85,0)</f>
        <v>0</v>
      </c>
      <c r="F85" s="6">
        <f>IF(B85&lt;='Вхідні дані'!$C$15,F84-C85:C86,0)</f>
        <v>0</v>
      </c>
      <c r="G85" s="3"/>
      <c r="H85" s="3"/>
    </row>
    <row r="86" spans="2:8" x14ac:dyDescent="0.35">
      <c r="B86" s="5">
        <v>76</v>
      </c>
      <c r="C86" s="6">
        <f>IF(B86&lt;='Вхідні дані'!$C$15,-PPMT('Вхідні дані'!$C$21/12,B86,'Вхідні дані'!$C$15,'Вхідні дані'!$C$19,0),0)</f>
        <v>0</v>
      </c>
      <c r="D86" s="6">
        <f>IF(B86&lt;='Вхідні дані'!$C$15,F85*'Вхідні дані'!$C$21/12,0)</f>
        <v>0</v>
      </c>
      <c r="E86" s="7">
        <f>IF(B86&lt;='Вхідні дані'!$C$15,C86+D86,0)</f>
        <v>0</v>
      </c>
      <c r="F86" s="6">
        <f>IF(B86&lt;='Вхідні дані'!$C$15,F85-C86:C87,0)</f>
        <v>0</v>
      </c>
      <c r="G86" s="3"/>
      <c r="H86" s="3"/>
    </row>
    <row r="87" spans="2:8" x14ac:dyDescent="0.35">
      <c r="B87" s="5">
        <v>77</v>
      </c>
      <c r="C87" s="6">
        <f>IF(B87&lt;='Вхідні дані'!$C$15,-PPMT('Вхідні дані'!$C$21/12,B87,'Вхідні дані'!$C$15,'Вхідні дані'!$C$19,0),0)</f>
        <v>0</v>
      </c>
      <c r="D87" s="6">
        <f>IF(B87&lt;='Вхідні дані'!$C$15,F86*'Вхідні дані'!$C$21/12,0)</f>
        <v>0</v>
      </c>
      <c r="E87" s="7">
        <f>IF(B87&lt;='Вхідні дані'!$C$15,C87+D87,0)</f>
        <v>0</v>
      </c>
      <c r="F87" s="6">
        <f>IF(B87&lt;='Вхідні дані'!$C$15,F86-C87:C88,0)</f>
        <v>0</v>
      </c>
      <c r="G87" s="3"/>
      <c r="H87" s="3"/>
    </row>
    <row r="88" spans="2:8" x14ac:dyDescent="0.35">
      <c r="B88" s="5">
        <v>78</v>
      </c>
      <c r="C88" s="6">
        <f>IF(B88&lt;='Вхідні дані'!$C$15,-PPMT('Вхідні дані'!$C$21/12,B88,'Вхідні дані'!$C$15,'Вхідні дані'!$C$19,0),0)</f>
        <v>0</v>
      </c>
      <c r="D88" s="6">
        <f>IF(B88&lt;='Вхідні дані'!$C$15,F87*'Вхідні дані'!$C$21/12,0)</f>
        <v>0</v>
      </c>
      <c r="E88" s="7">
        <f>IF(B88&lt;='Вхідні дані'!$C$15,C88+D88,0)</f>
        <v>0</v>
      </c>
      <c r="F88" s="6">
        <f>IF(B88&lt;='Вхідні дані'!$C$15,F87-C88:C89,0)</f>
        <v>0</v>
      </c>
      <c r="G88" s="3"/>
      <c r="H88" s="3"/>
    </row>
    <row r="89" spans="2:8" x14ac:dyDescent="0.35">
      <c r="B89" s="5">
        <v>79</v>
      </c>
      <c r="C89" s="6">
        <f>IF(B89&lt;='Вхідні дані'!$C$15,-PPMT('Вхідні дані'!$C$21/12,B89,'Вхідні дані'!$C$15,'Вхідні дані'!$C$19,0),0)</f>
        <v>0</v>
      </c>
      <c r="D89" s="6">
        <f>IF(B89&lt;='Вхідні дані'!$C$15,F88*'Вхідні дані'!$C$21/12,0)</f>
        <v>0</v>
      </c>
      <c r="E89" s="7">
        <f>IF(B89&lt;='Вхідні дані'!$C$15,C89+D89,0)</f>
        <v>0</v>
      </c>
      <c r="F89" s="6">
        <f>IF(B89&lt;='Вхідні дані'!$C$15,F88-C89:C90,0)</f>
        <v>0</v>
      </c>
      <c r="G89" s="3"/>
      <c r="H89" s="3"/>
    </row>
    <row r="90" spans="2:8" x14ac:dyDescent="0.35">
      <c r="B90" s="5">
        <v>80</v>
      </c>
      <c r="C90" s="6">
        <f>IF(B90&lt;='Вхідні дані'!$C$15,-PPMT('Вхідні дані'!$C$21/12,B90,'Вхідні дані'!$C$15,'Вхідні дані'!$C$19,0),0)</f>
        <v>0</v>
      </c>
      <c r="D90" s="6">
        <f>IF(B90&lt;='Вхідні дані'!$C$15,F89*'Вхідні дані'!$C$21/12,0)</f>
        <v>0</v>
      </c>
      <c r="E90" s="7">
        <f>IF(B90&lt;='Вхідні дані'!$C$15,C90+D90,0)</f>
        <v>0</v>
      </c>
      <c r="F90" s="6">
        <f>IF(B90&lt;='Вхідні дані'!$C$15,F89-C90:C91,0)</f>
        <v>0</v>
      </c>
      <c r="G90" s="3"/>
      <c r="H90" s="3"/>
    </row>
    <row r="91" spans="2:8" x14ac:dyDescent="0.35">
      <c r="B91" s="5">
        <v>81</v>
      </c>
      <c r="C91" s="6">
        <f>IF(B91&lt;='Вхідні дані'!$C$15,-PPMT('Вхідні дані'!$C$21/12,B91,'Вхідні дані'!$C$15,'Вхідні дані'!$C$19,0),0)</f>
        <v>0</v>
      </c>
      <c r="D91" s="6">
        <f>IF(B91&lt;='Вхідні дані'!$C$15,F90*'Вхідні дані'!$C$21/12,0)</f>
        <v>0</v>
      </c>
      <c r="E91" s="7">
        <f>IF(B91&lt;='Вхідні дані'!$C$15,C91+D91,0)</f>
        <v>0</v>
      </c>
      <c r="F91" s="6">
        <f>IF(B91&lt;='Вхідні дані'!$C$15,F90-C91:C92,0)</f>
        <v>0</v>
      </c>
      <c r="G91" s="3"/>
      <c r="H91" s="3"/>
    </row>
    <row r="92" spans="2:8" x14ac:dyDescent="0.35">
      <c r="B92" s="5">
        <v>82</v>
      </c>
      <c r="C92" s="6">
        <f>IF(B92&lt;='Вхідні дані'!$C$15,-PPMT('Вхідні дані'!$C$21/12,B92,'Вхідні дані'!$C$15,'Вхідні дані'!$C$19,0),0)</f>
        <v>0</v>
      </c>
      <c r="D92" s="6">
        <f>IF(B92&lt;='Вхідні дані'!$C$15,F91*'Вхідні дані'!$C$21/12,0)</f>
        <v>0</v>
      </c>
      <c r="E92" s="7">
        <f>IF(B92&lt;='Вхідні дані'!$C$15,C92+D92,0)</f>
        <v>0</v>
      </c>
      <c r="F92" s="6">
        <f>IF(B92&lt;='Вхідні дані'!$C$15,F91-C92:C93,0)</f>
        <v>0</v>
      </c>
      <c r="G92" s="3"/>
      <c r="H92" s="3"/>
    </row>
    <row r="93" spans="2:8" x14ac:dyDescent="0.35">
      <c r="B93" s="5">
        <v>83</v>
      </c>
      <c r="C93" s="6">
        <f>IF(B93&lt;='Вхідні дані'!$C$15,-PPMT('Вхідні дані'!$C$21/12,B93,'Вхідні дані'!$C$15,'Вхідні дані'!$C$19,0),0)</f>
        <v>0</v>
      </c>
      <c r="D93" s="6">
        <f>IF(B93&lt;='Вхідні дані'!$C$15,F92*'Вхідні дані'!$C$21/12,0)</f>
        <v>0</v>
      </c>
      <c r="E93" s="7">
        <f>IF(B93&lt;='Вхідні дані'!$C$15,C93+D93,0)</f>
        <v>0</v>
      </c>
      <c r="F93" s="6">
        <f>IF(B93&lt;='Вхідні дані'!$C$15,F92-C93:C94,0)</f>
        <v>0</v>
      </c>
      <c r="G93" s="3"/>
      <c r="H93" s="3"/>
    </row>
    <row r="94" spans="2:8" x14ac:dyDescent="0.35">
      <c r="B94" s="5">
        <v>84</v>
      </c>
      <c r="C94" s="6">
        <f>IF(B94&lt;='Вхідні дані'!$C$15,-PPMT('Вхідні дані'!$C$21/12,B94,'Вхідні дані'!$C$15,'Вхідні дані'!$C$19,0),0)</f>
        <v>0</v>
      </c>
      <c r="D94" s="6">
        <f>IF(B94&lt;='Вхідні дані'!$C$15,F93*'Вхідні дані'!$C$21/12,0)</f>
        <v>0</v>
      </c>
      <c r="E94" s="7">
        <f>IF(B94&lt;='Вхідні дані'!$C$15,C94+D94,0)</f>
        <v>0</v>
      </c>
      <c r="F94" s="6">
        <f>IF(B94&lt;='Вхідні дані'!$C$15,F93-C94:C95,0)</f>
        <v>0</v>
      </c>
      <c r="G94" s="3"/>
      <c r="H94" s="3"/>
    </row>
    <row r="95" spans="2:8" x14ac:dyDescent="0.35">
      <c r="B95" s="8" t="s">
        <v>21</v>
      </c>
      <c r="C95" s="9">
        <f>SUM(C11:C94)</f>
        <v>1294850.0000000005</v>
      </c>
      <c r="D95" s="10">
        <f>SUM(D11:D94)</f>
        <v>280071.55809587234</v>
      </c>
      <c r="E95" s="10">
        <f>SUM(E11:E94)</f>
        <v>1574921.5580958736</v>
      </c>
      <c r="G95" s="3"/>
      <c r="H95" s="3"/>
    </row>
    <row r="96" spans="2:8" x14ac:dyDescent="0.35"/>
  </sheetData>
  <sheetProtection algorithmName="SHA-512" hashValue="bheif/FDnY62eVf8oX8frhkoqZMPU3ZumDizTG1xcdyWiPcR+DPFkp7vYpKmkKi/4wlN8TfqVI1pNtVpMT+u5g==" saltValue="wd5GLb4vFex5ZoOggNn+MQ==" spinCount="100000" sheet="1" objects="1" scenarios="1"/>
  <mergeCells count="1">
    <mergeCell ref="B7:F8"/>
  </mergeCells>
  <conditionalFormatting sqref="C11:F94">
    <cfRule type="cellIs" dxfId="4" priority="1" operator="equal">
      <formula>0</formula>
    </cfRule>
  </conditionalFormatting>
  <pageMargins left="0.7" right="0.7" top="0.75" bottom="0.75" header="0.3" footer="0.3"/>
  <pageSetup paperSize="9" scale="73" orientation="portrait" r:id="rId1"/>
  <headerFooter>
    <oddFooter>&amp;R_x000D_&amp;1#&amp;"Arial"&amp;10&amp;K000000 Confidential C</oddFooter>
  </headerFooter>
  <rowBreaks count="1" manualBreakCount="1">
    <brk id="58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98876-1C48-4CE0-AAA0-D826BEE1E36B}">
  <dimension ref="A1:F30"/>
  <sheetViews>
    <sheetView showGridLines="0" zoomScale="90" zoomScaleNormal="90" workbookViewId="0">
      <selection activeCell="E15" sqref="E15"/>
    </sheetView>
  </sheetViews>
  <sheetFormatPr defaultColWidth="0" defaultRowHeight="14.5" zeroHeight="1" x14ac:dyDescent="0.35"/>
  <cols>
    <col min="1" max="1" width="9.1796875" style="19" customWidth="1"/>
    <col min="2" max="2" width="51" style="19" customWidth="1"/>
    <col min="3" max="4" width="42.26953125" style="19" customWidth="1"/>
    <col min="5" max="5" width="19.81640625" style="20" customWidth="1"/>
    <col min="6" max="6" width="9.1796875" style="19" customWidth="1"/>
    <col min="7" max="16384" width="9.1796875" style="19" hidden="1"/>
  </cols>
  <sheetData>
    <row r="1" spans="2:5" x14ac:dyDescent="0.35"/>
    <row r="2" spans="2:5" ht="15.5" x14ac:dyDescent="0.35">
      <c r="C2" s="61" t="s">
        <v>1</v>
      </c>
      <c r="D2" s="61"/>
      <c r="E2" s="41">
        <f>'Вхідні дані'!C13</f>
        <v>2589700</v>
      </c>
    </row>
    <row r="3" spans="2:5" ht="15.5" x14ac:dyDescent="0.35">
      <c r="C3" s="61" t="s">
        <v>23</v>
      </c>
      <c r="D3" s="61"/>
      <c r="E3" s="42">
        <f>'Вхідні дані'!C17/'Вхідні дані'!C13</f>
        <v>0.5</v>
      </c>
    </row>
    <row r="4" spans="2:5" ht="15.5" x14ac:dyDescent="0.35">
      <c r="C4" s="61" t="s">
        <v>24</v>
      </c>
      <c r="D4" s="61"/>
      <c r="E4" s="41">
        <f>'Вхідні дані'!C13-'Вхідні дані'!C17</f>
        <v>1294850</v>
      </c>
    </row>
    <row r="5" spans="2:5" ht="15.5" x14ac:dyDescent="0.35">
      <c r="C5" s="61" t="s">
        <v>25</v>
      </c>
      <c r="D5" s="61"/>
      <c r="E5" s="43">
        <f>'Вхідні дані'!E23</f>
        <v>0</v>
      </c>
    </row>
    <row r="6" spans="2:5" ht="15.5" x14ac:dyDescent="0.35">
      <c r="C6" s="61" t="s">
        <v>26</v>
      </c>
      <c r="D6" s="61"/>
      <c r="E6" s="43">
        <f>'Вхідні дані'!E11</f>
        <v>0</v>
      </c>
    </row>
    <row r="7" spans="2:5" ht="15.5" x14ac:dyDescent="0.35">
      <c r="C7" s="61" t="s">
        <v>27</v>
      </c>
      <c r="D7" s="61"/>
      <c r="E7" s="43">
        <f>'Вхідні дані'!E27</f>
        <v>0</v>
      </c>
    </row>
    <row r="8" spans="2:5" ht="18.5" x14ac:dyDescent="0.35">
      <c r="C8" s="61" t="s">
        <v>28</v>
      </c>
      <c r="D8" s="61"/>
      <c r="E8" s="44">
        <f>'Вхідні дані'!C19</f>
        <v>1294850</v>
      </c>
    </row>
    <row r="9" spans="2:5" ht="15.5" x14ac:dyDescent="0.35">
      <c r="E9" s="21"/>
    </row>
    <row r="10" spans="2:5" ht="18.5" x14ac:dyDescent="0.35">
      <c r="B10" s="22" t="s">
        <v>52</v>
      </c>
      <c r="E10" s="21"/>
    </row>
    <row r="11" spans="2:5" ht="15.5" x14ac:dyDescent="0.35">
      <c r="B11" s="45" t="s">
        <v>8</v>
      </c>
      <c r="C11" s="46">
        <f>'Вхідні дані'!C28</f>
        <v>1.9E-2</v>
      </c>
      <c r="D11" s="47" t="s">
        <v>29</v>
      </c>
      <c r="E11" s="49">
        <f>IF('Вхідні дані'!C27="Ні",'Вхідні дані'!C29,"В кредит")</f>
        <v>24602.149999999998</v>
      </c>
    </row>
    <row r="12" spans="2:5" ht="29" x14ac:dyDescent="0.35">
      <c r="B12" s="45" t="s">
        <v>54</v>
      </c>
      <c r="C12" s="47" t="s">
        <v>33</v>
      </c>
      <c r="D12" s="47" t="s">
        <v>30</v>
      </c>
      <c r="E12" s="49">
        <v>750</v>
      </c>
    </row>
    <row r="13" spans="2:5" ht="29" x14ac:dyDescent="0.35">
      <c r="B13" s="45" t="s">
        <v>55</v>
      </c>
      <c r="C13" s="48">
        <f>'Вхідні дані'!C24</f>
        <v>6.4899999999999999E-2</v>
      </c>
      <c r="D13" s="47" t="s">
        <v>57</v>
      </c>
      <c r="E13" s="49">
        <f>IF('Вхідні дані'!C23="Ні",'Вхідні дані'!C25,"В кредит")</f>
        <v>168071.53</v>
      </c>
    </row>
    <row r="14" spans="2:5" ht="29" x14ac:dyDescent="0.35">
      <c r="B14" s="45" t="s">
        <v>56</v>
      </c>
      <c r="C14" s="47" t="s">
        <v>31</v>
      </c>
      <c r="D14" s="47" t="s">
        <v>32</v>
      </c>
      <c r="E14" s="23">
        <v>2000</v>
      </c>
    </row>
    <row r="15" spans="2:5" x14ac:dyDescent="0.35"/>
    <row r="16" spans="2:5" ht="18.5" x14ac:dyDescent="0.35">
      <c r="B16" s="22" t="s">
        <v>37</v>
      </c>
    </row>
    <row r="17" spans="2:5" ht="15.5" x14ac:dyDescent="0.35">
      <c r="B17" s="45" t="s">
        <v>38</v>
      </c>
      <c r="C17" s="50">
        <f>IF((E2-E2/6)&lt;=E28*165,D25,IF((E2-E2/6)&lt;=E28*290,D26,D27))</f>
        <v>0.05</v>
      </c>
      <c r="D17" s="47" t="s">
        <v>30</v>
      </c>
      <c r="E17" s="41">
        <f>IF(B28="Фізична особа",(E2-E2/6)*C17,0)</f>
        <v>107904.16666666669</v>
      </c>
    </row>
    <row r="18" spans="2:5" ht="15.5" x14ac:dyDescent="0.35">
      <c r="B18" s="45" t="s">
        <v>39</v>
      </c>
      <c r="C18" s="51" t="s">
        <v>40</v>
      </c>
      <c r="D18" s="47" t="s">
        <v>30</v>
      </c>
      <c r="E18" s="23">
        <v>2500</v>
      </c>
    </row>
    <row r="19" spans="2:5" ht="18.5" x14ac:dyDescent="0.35">
      <c r="B19" s="61" t="s">
        <v>41</v>
      </c>
      <c r="C19" s="61"/>
      <c r="D19" s="61"/>
      <c r="E19" s="52">
        <f>IF('Вхідні дані'!C27="Ні",E11,0)+E12+IF('Вхідні дані'!C23="Ні",E13,0)+E14+E17+E18</f>
        <v>305827.84666666668</v>
      </c>
    </row>
    <row r="20" spans="2:5" ht="18.5" x14ac:dyDescent="0.35">
      <c r="B20" s="61" t="s">
        <v>42</v>
      </c>
      <c r="C20" s="61"/>
      <c r="D20" s="61"/>
      <c r="E20" s="52">
        <f>E19+'Вхідні дані'!C17</f>
        <v>1600677.8466666667</v>
      </c>
    </row>
    <row r="21" spans="2:5" x14ac:dyDescent="0.35"/>
    <row r="22" spans="2:5" x14ac:dyDescent="0.35"/>
    <row r="23" spans="2:5" ht="18.5" x14ac:dyDescent="0.35">
      <c r="B23" s="65" t="s">
        <v>53</v>
      </c>
      <c r="C23" s="65"/>
      <c r="D23" s="65"/>
      <c r="E23" s="65"/>
    </row>
    <row r="24" spans="2:5" x14ac:dyDescent="0.35">
      <c r="B24" s="53" t="s">
        <v>43</v>
      </c>
      <c r="C24" s="53" t="s">
        <v>44</v>
      </c>
      <c r="D24" s="66" t="s">
        <v>51</v>
      </c>
      <c r="E24" s="66"/>
    </row>
    <row r="25" spans="2:5" x14ac:dyDescent="0.35">
      <c r="B25" s="53" t="s">
        <v>45</v>
      </c>
      <c r="C25" s="53" t="str">
        <f>"до"&amp;" "&amp;E28*165&amp;" "&amp;"грн."</f>
        <v>до 442860 грн.</v>
      </c>
      <c r="D25" s="67">
        <v>0.03</v>
      </c>
      <c r="E25" s="67"/>
    </row>
    <row r="26" spans="2:5" x14ac:dyDescent="0.35">
      <c r="B26" s="53" t="s">
        <v>46</v>
      </c>
      <c r="C26" s="53" t="str">
        <f>"від"&amp;" "&amp;E28*165&amp;" "&amp;"грн."&amp;" "&amp;"до"&amp;" "&amp;E28*290&amp;" "&amp;"грн."</f>
        <v>від 442860 грн. до 778360 грн.</v>
      </c>
      <c r="D26" s="67">
        <v>0.04</v>
      </c>
      <c r="E26" s="67"/>
    </row>
    <row r="27" spans="2:5" x14ac:dyDescent="0.35">
      <c r="B27" s="53" t="s">
        <v>47</v>
      </c>
      <c r="C27" s="53" t="str">
        <f>"вище"&amp;" "&amp;E28*290&amp;" "&amp;"грн."</f>
        <v>вище 778360 грн.</v>
      </c>
      <c r="D27" s="67">
        <v>0.05</v>
      </c>
      <c r="E27" s="67"/>
    </row>
    <row r="28" spans="2:5" ht="15.75" customHeight="1" x14ac:dyDescent="0.35">
      <c r="B28" s="34" t="s">
        <v>60</v>
      </c>
      <c r="C28" s="68" t="s">
        <v>48</v>
      </c>
      <c r="D28" s="69"/>
      <c r="E28" s="23">
        <v>2684</v>
      </c>
    </row>
    <row r="29" spans="2:5" x14ac:dyDescent="0.35">
      <c r="B29" s="62" t="s">
        <v>49</v>
      </c>
      <c r="C29" s="62"/>
      <c r="D29" s="63" t="s">
        <v>50</v>
      </c>
      <c r="E29" s="64"/>
    </row>
    <row r="30" spans="2:5" x14ac:dyDescent="0.35"/>
  </sheetData>
  <sheetProtection algorithmName="SHA-512" hashValue="5ezq1itTDSK03fjPrn91VQ4KEzi1pIKaNgWBJg0SyjdBBdvnU12NItkqTGNFAV9U3NLztDLVK2koiYs0QffjjQ==" saltValue="say4vIGxpAg8DpBuaGGDcw==" spinCount="100000" sheet="1" objects="1" scenarios="1"/>
  <mergeCells count="17">
    <mergeCell ref="B29:C29"/>
    <mergeCell ref="D29:E29"/>
    <mergeCell ref="B19:D19"/>
    <mergeCell ref="B20:D20"/>
    <mergeCell ref="B23:E23"/>
    <mergeCell ref="D24:E24"/>
    <mergeCell ref="D25:E25"/>
    <mergeCell ref="D26:E26"/>
    <mergeCell ref="D27:E27"/>
    <mergeCell ref="C28:D28"/>
    <mergeCell ref="C8:D8"/>
    <mergeCell ref="C2:D2"/>
    <mergeCell ref="C3:D3"/>
    <mergeCell ref="C4:D4"/>
    <mergeCell ref="C5:D5"/>
    <mergeCell ref="C6:D6"/>
    <mergeCell ref="C7:D7"/>
  </mergeCells>
  <dataValidations count="1">
    <dataValidation type="list" allowBlank="1" showInputMessage="1" showErrorMessage="1" sqref="B28" xr:uid="{4063B782-8E52-40B9-A32B-8F9CE883396A}">
      <formula1>"Фізична особа,Юридична особа"</formula1>
    </dataValidation>
  </dataValidations>
  <hyperlinks>
    <hyperlink ref="D29" r:id="rId1" xr:uid="{E81B5559-7F66-4CFC-9A39-16D4242DFAA0}"/>
  </hyperlinks>
  <pageMargins left="0.7" right="0.7" top="0.75" bottom="0.75" header="0.3" footer="0.3"/>
  <pageSetup paperSize="9" scale="50" orientation="portrait" r:id="rId2"/>
  <headerFooter>
    <oddFooter>&amp;R_x000D_&amp;1#&amp;"Arial"&amp;10&amp;K000000 Confidential C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36E88-98E9-4846-BDB9-52719B293FA2}">
  <dimension ref="A1:B87"/>
  <sheetViews>
    <sheetView topLeftCell="A76" workbookViewId="0">
      <selection activeCell="B27" sqref="B27"/>
    </sheetView>
  </sheetViews>
  <sheetFormatPr defaultColWidth="9.1796875" defaultRowHeight="14.5" x14ac:dyDescent="0.35"/>
  <cols>
    <col min="1" max="1" width="14.54296875" style="1" bestFit="1" customWidth="1"/>
    <col min="2" max="2" width="14.26953125" style="1" bestFit="1" customWidth="1"/>
    <col min="3" max="16384" width="9.1796875" style="1"/>
  </cols>
  <sheetData>
    <row r="1" spans="1:2" x14ac:dyDescent="0.35">
      <c r="A1" s="70" t="s">
        <v>17</v>
      </c>
      <c r="B1" s="70"/>
    </row>
    <row r="2" spans="1:2" x14ac:dyDescent="0.35">
      <c r="A2" s="1" t="s">
        <v>16</v>
      </c>
      <c r="B2" s="1" t="s">
        <v>15</v>
      </c>
    </row>
    <row r="3" spans="1:2" x14ac:dyDescent="0.35">
      <c r="A3" s="1">
        <v>0</v>
      </c>
      <c r="B3" s="2">
        <v>1.9900000000000001E-2</v>
      </c>
    </row>
    <row r="4" spans="1:2" x14ac:dyDescent="0.35">
      <c r="A4" s="1">
        <v>1</v>
      </c>
      <c r="B4" s="2">
        <v>1.9900000000000001E-2</v>
      </c>
    </row>
    <row r="5" spans="1:2" x14ac:dyDescent="0.35">
      <c r="A5" s="1">
        <v>2</v>
      </c>
      <c r="B5" s="2">
        <v>1.9900000000000001E-2</v>
      </c>
    </row>
    <row r="6" spans="1:2" x14ac:dyDescent="0.35">
      <c r="A6" s="1">
        <v>3</v>
      </c>
      <c r="B6" s="2">
        <v>1.9900000000000001E-2</v>
      </c>
    </row>
    <row r="7" spans="1:2" x14ac:dyDescent="0.35">
      <c r="A7" s="1">
        <v>4</v>
      </c>
      <c r="B7" s="2">
        <v>1.9900000000000001E-2</v>
      </c>
    </row>
    <row r="8" spans="1:2" x14ac:dyDescent="0.35">
      <c r="A8" s="1">
        <v>5</v>
      </c>
      <c r="B8" s="2">
        <v>1.9900000000000001E-2</v>
      </c>
    </row>
    <row r="9" spans="1:2" x14ac:dyDescent="0.35">
      <c r="A9" s="1">
        <v>6</v>
      </c>
      <c r="B9" s="2">
        <v>1.9900000000000001E-2</v>
      </c>
    </row>
    <row r="10" spans="1:2" x14ac:dyDescent="0.35">
      <c r="A10" s="1">
        <v>7</v>
      </c>
      <c r="B10" s="2">
        <v>1.9900000000000001E-2</v>
      </c>
    </row>
    <row r="11" spans="1:2" x14ac:dyDescent="0.35">
      <c r="A11" s="1">
        <v>8</v>
      </c>
      <c r="B11" s="2">
        <v>1.9900000000000001E-2</v>
      </c>
    </row>
    <row r="12" spans="1:2" x14ac:dyDescent="0.35">
      <c r="A12" s="1">
        <v>9</v>
      </c>
      <c r="B12" s="2">
        <v>1.9900000000000001E-2</v>
      </c>
    </row>
    <row r="13" spans="1:2" x14ac:dyDescent="0.35">
      <c r="A13" s="1">
        <v>10</v>
      </c>
      <c r="B13" s="2">
        <v>1.9900000000000001E-2</v>
      </c>
    </row>
    <row r="14" spans="1:2" x14ac:dyDescent="0.35">
      <c r="A14" s="1">
        <v>11</v>
      </c>
      <c r="B14" s="2">
        <v>1.9900000000000001E-2</v>
      </c>
    </row>
    <row r="15" spans="1:2" x14ac:dyDescent="0.35">
      <c r="A15" s="1">
        <v>12</v>
      </c>
      <c r="B15" s="2">
        <v>1.9900000000000001E-2</v>
      </c>
    </row>
    <row r="16" spans="1:2" x14ac:dyDescent="0.35">
      <c r="A16" s="1">
        <v>13</v>
      </c>
      <c r="B16" s="2">
        <v>2.9899999999999999E-2</v>
      </c>
    </row>
    <row r="17" spans="1:2" x14ac:dyDescent="0.35">
      <c r="A17" s="1">
        <v>14</v>
      </c>
      <c r="B17" s="2">
        <v>2.9899999999999999E-2</v>
      </c>
    </row>
    <row r="18" spans="1:2" x14ac:dyDescent="0.35">
      <c r="A18" s="1">
        <v>15</v>
      </c>
      <c r="B18" s="2">
        <v>2.9899999999999999E-2</v>
      </c>
    </row>
    <row r="19" spans="1:2" x14ac:dyDescent="0.35">
      <c r="A19" s="1">
        <v>16</v>
      </c>
      <c r="B19" s="2">
        <v>2.9899999999999999E-2</v>
      </c>
    </row>
    <row r="20" spans="1:2" x14ac:dyDescent="0.35">
      <c r="A20" s="1">
        <v>17</v>
      </c>
      <c r="B20" s="2">
        <v>2.9899999999999999E-2</v>
      </c>
    </row>
    <row r="21" spans="1:2" x14ac:dyDescent="0.35">
      <c r="A21" s="1">
        <v>18</v>
      </c>
      <c r="B21" s="2">
        <v>2.9899999999999999E-2</v>
      </c>
    </row>
    <row r="22" spans="1:2" x14ac:dyDescent="0.35">
      <c r="A22" s="1">
        <v>19</v>
      </c>
      <c r="B22" s="2">
        <v>2.9899999999999999E-2</v>
      </c>
    </row>
    <row r="23" spans="1:2" x14ac:dyDescent="0.35">
      <c r="A23" s="1">
        <v>20</v>
      </c>
      <c r="B23" s="2">
        <v>2.9899999999999999E-2</v>
      </c>
    </row>
    <row r="24" spans="1:2" x14ac:dyDescent="0.35">
      <c r="A24" s="1">
        <v>21</v>
      </c>
      <c r="B24" s="2">
        <v>2.9899999999999999E-2</v>
      </c>
    </row>
    <row r="25" spans="1:2" x14ac:dyDescent="0.35">
      <c r="A25" s="1">
        <v>22</v>
      </c>
      <c r="B25" s="2">
        <v>2.9899999999999999E-2</v>
      </c>
    </row>
    <row r="26" spans="1:2" x14ac:dyDescent="0.35">
      <c r="A26" s="1">
        <v>23</v>
      </c>
      <c r="B26" s="2">
        <v>2.9899999999999999E-2</v>
      </c>
    </row>
    <row r="27" spans="1:2" x14ac:dyDescent="0.35">
      <c r="A27" s="1">
        <v>24</v>
      </c>
      <c r="B27" s="2">
        <v>2.9899999999999999E-2</v>
      </c>
    </row>
    <row r="28" spans="1:2" x14ac:dyDescent="0.35">
      <c r="A28" s="1">
        <v>25</v>
      </c>
      <c r="B28" s="2">
        <v>3.9899999999999998E-2</v>
      </c>
    </row>
    <row r="29" spans="1:2" x14ac:dyDescent="0.35">
      <c r="A29" s="1">
        <v>26</v>
      </c>
      <c r="B29" s="2">
        <v>3.9899999999999998E-2</v>
      </c>
    </row>
    <row r="30" spans="1:2" x14ac:dyDescent="0.35">
      <c r="A30" s="1">
        <v>27</v>
      </c>
      <c r="B30" s="2">
        <v>3.9899999999999998E-2</v>
      </c>
    </row>
    <row r="31" spans="1:2" x14ac:dyDescent="0.35">
      <c r="A31" s="1">
        <v>28</v>
      </c>
      <c r="B31" s="2">
        <v>3.9899999999999998E-2</v>
      </c>
    </row>
    <row r="32" spans="1:2" x14ac:dyDescent="0.35">
      <c r="A32" s="1">
        <v>29</v>
      </c>
      <c r="B32" s="2">
        <v>3.9899999999999998E-2</v>
      </c>
    </row>
    <row r="33" spans="1:2" x14ac:dyDescent="0.35">
      <c r="A33" s="1">
        <v>30</v>
      </c>
      <c r="B33" s="2">
        <v>3.9899999999999998E-2</v>
      </c>
    </row>
    <row r="34" spans="1:2" x14ac:dyDescent="0.35">
      <c r="A34" s="1">
        <v>31</v>
      </c>
      <c r="B34" s="2">
        <v>3.9899999999999998E-2</v>
      </c>
    </row>
    <row r="35" spans="1:2" x14ac:dyDescent="0.35">
      <c r="A35" s="1">
        <v>32</v>
      </c>
      <c r="B35" s="2">
        <v>3.9899999999999998E-2</v>
      </c>
    </row>
    <row r="36" spans="1:2" x14ac:dyDescent="0.35">
      <c r="A36" s="1">
        <v>33</v>
      </c>
      <c r="B36" s="2">
        <v>3.9899999999999998E-2</v>
      </c>
    </row>
    <row r="37" spans="1:2" x14ac:dyDescent="0.35">
      <c r="A37" s="1">
        <v>34</v>
      </c>
      <c r="B37" s="2">
        <v>3.9899999999999998E-2</v>
      </c>
    </row>
    <row r="38" spans="1:2" x14ac:dyDescent="0.35">
      <c r="A38" s="1">
        <v>35</v>
      </c>
      <c r="B38" s="2">
        <v>3.9899999999999998E-2</v>
      </c>
    </row>
    <row r="39" spans="1:2" x14ac:dyDescent="0.35">
      <c r="A39" s="1">
        <v>36</v>
      </c>
      <c r="B39" s="2">
        <v>3.9899999999999998E-2</v>
      </c>
    </row>
    <row r="40" spans="1:2" x14ac:dyDescent="0.35">
      <c r="A40" s="1">
        <v>37</v>
      </c>
      <c r="B40" s="2">
        <v>3.9899999999999998E-2</v>
      </c>
    </row>
    <row r="41" spans="1:2" x14ac:dyDescent="0.35">
      <c r="A41" s="1">
        <v>38</v>
      </c>
      <c r="B41" s="2">
        <v>3.9899999999999998E-2</v>
      </c>
    </row>
    <row r="42" spans="1:2" x14ac:dyDescent="0.35">
      <c r="A42" s="1">
        <v>39</v>
      </c>
      <c r="B42" s="2">
        <v>3.9899999999999998E-2</v>
      </c>
    </row>
    <row r="43" spans="1:2" x14ac:dyDescent="0.35">
      <c r="A43" s="1">
        <v>40</v>
      </c>
      <c r="B43" s="2">
        <v>3.9899999999999998E-2</v>
      </c>
    </row>
    <row r="44" spans="1:2" x14ac:dyDescent="0.35">
      <c r="A44" s="1">
        <v>41</v>
      </c>
      <c r="B44" s="2">
        <v>3.9899999999999998E-2</v>
      </c>
    </row>
    <row r="45" spans="1:2" x14ac:dyDescent="0.35">
      <c r="A45" s="1">
        <v>42</v>
      </c>
      <c r="B45" s="2">
        <v>3.9899999999999998E-2</v>
      </c>
    </row>
    <row r="46" spans="1:2" x14ac:dyDescent="0.35">
      <c r="A46" s="1">
        <v>43</v>
      </c>
      <c r="B46" s="2">
        <v>3.9899999999999998E-2</v>
      </c>
    </row>
    <row r="47" spans="1:2" x14ac:dyDescent="0.35">
      <c r="A47" s="1">
        <v>44</v>
      </c>
      <c r="B47" s="2">
        <v>3.9899999999999998E-2</v>
      </c>
    </row>
    <row r="48" spans="1:2" x14ac:dyDescent="0.35">
      <c r="A48" s="1">
        <v>45</v>
      </c>
      <c r="B48" s="2">
        <v>3.9899999999999998E-2</v>
      </c>
    </row>
    <row r="49" spans="1:2" x14ac:dyDescent="0.35">
      <c r="A49" s="1">
        <v>46</v>
      </c>
      <c r="B49" s="2">
        <v>3.9899999999999998E-2</v>
      </c>
    </row>
    <row r="50" spans="1:2" x14ac:dyDescent="0.35">
      <c r="A50" s="1">
        <v>47</v>
      </c>
      <c r="B50" s="2">
        <v>3.9899999999999998E-2</v>
      </c>
    </row>
    <row r="51" spans="1:2" x14ac:dyDescent="0.35">
      <c r="A51" s="1">
        <v>48</v>
      </c>
      <c r="B51" s="2">
        <v>3.9899999999999998E-2</v>
      </c>
    </row>
    <row r="52" spans="1:2" x14ac:dyDescent="0.35">
      <c r="A52" s="1">
        <v>49</v>
      </c>
      <c r="B52" s="2">
        <v>4.99E-2</v>
      </c>
    </row>
    <row r="53" spans="1:2" x14ac:dyDescent="0.35">
      <c r="A53" s="1">
        <v>50</v>
      </c>
      <c r="B53" s="2">
        <v>4.99E-2</v>
      </c>
    </row>
    <row r="54" spans="1:2" x14ac:dyDescent="0.35">
      <c r="A54" s="1">
        <v>51</v>
      </c>
      <c r="B54" s="2">
        <v>4.99E-2</v>
      </c>
    </row>
    <row r="55" spans="1:2" x14ac:dyDescent="0.35">
      <c r="A55" s="1">
        <v>52</v>
      </c>
      <c r="B55" s="2">
        <v>4.99E-2</v>
      </c>
    </row>
    <row r="56" spans="1:2" x14ac:dyDescent="0.35">
      <c r="A56" s="1">
        <v>53</v>
      </c>
      <c r="B56" s="2">
        <v>4.99E-2</v>
      </c>
    </row>
    <row r="57" spans="1:2" x14ac:dyDescent="0.35">
      <c r="A57" s="1">
        <v>54</v>
      </c>
      <c r="B57" s="2">
        <v>4.99E-2</v>
      </c>
    </row>
    <row r="58" spans="1:2" x14ac:dyDescent="0.35">
      <c r="A58" s="1">
        <v>55</v>
      </c>
      <c r="B58" s="2">
        <v>4.99E-2</v>
      </c>
    </row>
    <row r="59" spans="1:2" x14ac:dyDescent="0.35">
      <c r="A59" s="1">
        <v>56</v>
      </c>
      <c r="B59" s="2">
        <v>4.99E-2</v>
      </c>
    </row>
    <row r="60" spans="1:2" x14ac:dyDescent="0.35">
      <c r="A60" s="1">
        <v>57</v>
      </c>
      <c r="B60" s="2">
        <v>4.99E-2</v>
      </c>
    </row>
    <row r="61" spans="1:2" x14ac:dyDescent="0.35">
      <c r="A61" s="1">
        <v>58</v>
      </c>
      <c r="B61" s="2">
        <v>4.99E-2</v>
      </c>
    </row>
    <row r="62" spans="1:2" x14ac:dyDescent="0.35">
      <c r="A62" s="1">
        <v>59</v>
      </c>
      <c r="B62" s="2">
        <v>4.99E-2</v>
      </c>
    </row>
    <row r="63" spans="1:2" x14ac:dyDescent="0.35">
      <c r="A63" s="1">
        <v>60</v>
      </c>
      <c r="B63" s="2">
        <v>4.99E-2</v>
      </c>
    </row>
    <row r="64" spans="1:2" x14ac:dyDescent="0.35">
      <c r="A64" s="1">
        <v>61</v>
      </c>
      <c r="B64" s="2">
        <v>4.99E-2</v>
      </c>
    </row>
    <row r="65" spans="1:2" x14ac:dyDescent="0.35">
      <c r="A65" s="1">
        <v>62</v>
      </c>
      <c r="B65" s="2">
        <v>4.99E-2</v>
      </c>
    </row>
    <row r="66" spans="1:2" x14ac:dyDescent="0.35">
      <c r="A66" s="1">
        <v>63</v>
      </c>
      <c r="B66" s="2">
        <v>4.99E-2</v>
      </c>
    </row>
    <row r="67" spans="1:2" x14ac:dyDescent="0.35">
      <c r="A67" s="1">
        <v>64</v>
      </c>
      <c r="B67" s="2">
        <v>4.99E-2</v>
      </c>
    </row>
    <row r="68" spans="1:2" x14ac:dyDescent="0.35">
      <c r="A68" s="1">
        <v>65</v>
      </c>
      <c r="B68" s="2">
        <v>4.99E-2</v>
      </c>
    </row>
    <row r="69" spans="1:2" x14ac:dyDescent="0.35">
      <c r="A69" s="1">
        <v>66</v>
      </c>
      <c r="B69" s="2">
        <v>4.99E-2</v>
      </c>
    </row>
    <row r="70" spans="1:2" x14ac:dyDescent="0.35">
      <c r="A70" s="1">
        <v>67</v>
      </c>
      <c r="B70" s="2">
        <v>4.99E-2</v>
      </c>
    </row>
    <row r="71" spans="1:2" x14ac:dyDescent="0.35">
      <c r="A71" s="1">
        <v>68</v>
      </c>
      <c r="B71" s="2">
        <v>4.99E-2</v>
      </c>
    </row>
    <row r="72" spans="1:2" x14ac:dyDescent="0.35">
      <c r="A72" s="1">
        <v>69</v>
      </c>
      <c r="B72" s="2">
        <v>4.99E-2</v>
      </c>
    </row>
    <row r="73" spans="1:2" x14ac:dyDescent="0.35">
      <c r="A73" s="1">
        <v>70</v>
      </c>
      <c r="B73" s="2">
        <v>4.99E-2</v>
      </c>
    </row>
    <row r="74" spans="1:2" x14ac:dyDescent="0.35">
      <c r="A74" s="1">
        <v>71</v>
      </c>
      <c r="B74" s="2">
        <v>4.99E-2</v>
      </c>
    </row>
    <row r="75" spans="1:2" x14ac:dyDescent="0.35">
      <c r="A75" s="1">
        <v>72</v>
      </c>
      <c r="B75" s="2">
        <v>4.99E-2</v>
      </c>
    </row>
    <row r="76" spans="1:2" x14ac:dyDescent="0.35">
      <c r="A76" s="1">
        <v>73</v>
      </c>
      <c r="B76" s="2">
        <v>4.99E-2</v>
      </c>
    </row>
    <row r="77" spans="1:2" x14ac:dyDescent="0.35">
      <c r="A77" s="1">
        <v>74</v>
      </c>
      <c r="B77" s="2">
        <v>4.99E-2</v>
      </c>
    </row>
    <row r="78" spans="1:2" x14ac:dyDescent="0.35">
      <c r="A78" s="1">
        <v>75</v>
      </c>
      <c r="B78" s="2">
        <v>4.99E-2</v>
      </c>
    </row>
    <row r="79" spans="1:2" x14ac:dyDescent="0.35">
      <c r="A79" s="1">
        <v>76</v>
      </c>
      <c r="B79" s="2">
        <v>4.99E-2</v>
      </c>
    </row>
    <row r="80" spans="1:2" x14ac:dyDescent="0.35">
      <c r="A80" s="1">
        <v>77</v>
      </c>
      <c r="B80" s="2">
        <v>4.99E-2</v>
      </c>
    </row>
    <row r="81" spans="1:2" x14ac:dyDescent="0.35">
      <c r="A81" s="1">
        <v>78</v>
      </c>
      <c r="B81" s="2">
        <v>4.99E-2</v>
      </c>
    </row>
    <row r="82" spans="1:2" x14ac:dyDescent="0.35">
      <c r="A82" s="1">
        <v>79</v>
      </c>
      <c r="B82" s="2">
        <v>4.99E-2</v>
      </c>
    </row>
    <row r="83" spans="1:2" x14ac:dyDescent="0.35">
      <c r="A83" s="1">
        <v>80</v>
      </c>
      <c r="B83" s="2">
        <v>4.99E-2</v>
      </c>
    </row>
    <row r="84" spans="1:2" x14ac:dyDescent="0.35">
      <c r="A84" s="1">
        <v>81</v>
      </c>
      <c r="B84" s="2">
        <v>4.99E-2</v>
      </c>
    </row>
    <row r="85" spans="1:2" x14ac:dyDescent="0.35">
      <c r="A85" s="1">
        <v>82</v>
      </c>
      <c r="B85" s="2">
        <v>4.99E-2</v>
      </c>
    </row>
    <row r="86" spans="1:2" x14ac:dyDescent="0.35">
      <c r="A86" s="1">
        <v>83</v>
      </c>
      <c r="B86" s="2">
        <v>4.99E-2</v>
      </c>
    </row>
    <row r="87" spans="1:2" x14ac:dyDescent="0.35">
      <c r="A87" s="1">
        <v>84</v>
      </c>
      <c r="B87" s="2">
        <v>4.99E-2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  <headerFooter>
    <oddFooter>&amp;R_x000D_&amp;1#&amp;"Arial"&amp;10&amp;K000000 Confidential C</oddFooter>
  </headerFooter>
  <tableParts count="1">
    <tablePart r:id="rId2"/>
  </tableParts>
</worksheet>
</file>

<file path=docMetadata/LabelInfo.xml><?xml version="1.0" encoding="utf-8"?>
<clbl:labelList xmlns:clbl="http://schemas.microsoft.com/office/2020/mipLabelMetadata">
  <clbl:label id="{fd1c0902-ed92-4fed-896d-2e7725de02d4}" enabled="1" method="Standard" siteId="{d6b0bbee-7cd9-4d60-bce6-4a67b543e2ae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Вхідні дані</vt:lpstr>
      <vt:lpstr>Графік погашення стандартний</vt:lpstr>
      <vt:lpstr>Графік погашення ануїтет</vt:lpstr>
      <vt:lpstr>Витрати</vt:lpstr>
      <vt:lpstr>Tariff</vt:lpstr>
      <vt:lpstr>Витрати!Print_Area</vt:lpstr>
      <vt:lpstr>'Вхідні дані'!Print_Area</vt:lpstr>
      <vt:lpstr>'Графік погашення ануїтет'!Print_Area</vt:lpstr>
      <vt:lpstr>'Графік погашення стандартний'!Print_Area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 Хомушко</dc:creator>
  <cp:lastModifiedBy>ANDRUSENKO Irina</cp:lastModifiedBy>
  <cp:lastPrinted>2023-10-27T09:34:56Z</cp:lastPrinted>
  <dcterms:created xsi:type="dcterms:W3CDTF">2021-03-30T13:40:15Z</dcterms:created>
  <dcterms:modified xsi:type="dcterms:W3CDTF">2023-10-27T09:35:57Z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d1c0902-ed92-4fed-896d-2e7725de02d4_Enabled">
    <vt:lpwstr>true</vt:lpwstr>
  </property>
  <property fmtid="{D5CDD505-2E9C-101B-9397-08002B2CF9AE}" pid="3" name="MSIP_Label_fd1c0902-ed92-4fed-896d-2e7725de02d4_SetDate">
    <vt:lpwstr>2021-08-27T14:44:05Z</vt:lpwstr>
  </property>
  <property fmtid="{D5CDD505-2E9C-101B-9397-08002B2CF9AE}" pid="4" name="MSIP_Label_fd1c0902-ed92-4fed-896d-2e7725de02d4_Method">
    <vt:lpwstr>Standard</vt:lpwstr>
  </property>
  <property fmtid="{D5CDD505-2E9C-101B-9397-08002B2CF9AE}" pid="5" name="MSIP_Label_fd1c0902-ed92-4fed-896d-2e7725de02d4_Name">
    <vt:lpwstr>Anyone (not protected)</vt:lpwstr>
  </property>
  <property fmtid="{D5CDD505-2E9C-101B-9397-08002B2CF9AE}" pid="6" name="MSIP_Label_fd1c0902-ed92-4fed-896d-2e7725de02d4_SiteId">
    <vt:lpwstr>d6b0bbee-7cd9-4d60-bce6-4a67b543e2ae</vt:lpwstr>
  </property>
  <property fmtid="{D5CDD505-2E9C-101B-9397-08002B2CF9AE}" pid="7" name="MSIP_Label_fd1c0902-ed92-4fed-896d-2e7725de02d4_ActionId">
    <vt:lpwstr>81760920-bba9-44fb-8659-2aa731011d9f</vt:lpwstr>
  </property>
  <property fmtid="{D5CDD505-2E9C-101B-9397-08002B2CF9AE}" pid="8" name="MSIP_Label_fd1c0902-ed92-4fed-896d-2e7725de02d4_ContentBits">
    <vt:lpwstr>2</vt:lpwstr>
  </property>
  <property fmtid="{D5CDD505-2E9C-101B-9397-08002B2CF9AE}" pid="9" name="_AdHocReviewCycleID">
    <vt:i4>1935964293</vt:i4>
  </property>
  <property fmtid="{D5CDD505-2E9C-101B-9397-08002B2CF9AE}" pid="10" name="_NewReviewCycle">
    <vt:lpwstr/>
  </property>
  <property fmtid="{D5CDD505-2E9C-101B-9397-08002B2CF9AE}" pid="11" name="_EmailSubject">
    <vt:lpwstr>INFINITI FINANCE_Нові умови кредитування на модель QX80</vt:lpwstr>
  </property>
  <property fmtid="{D5CDD505-2E9C-101B-9397-08002B2CF9AE}" pid="12" name="_AuthorEmail">
    <vt:lpwstr>irina.andrusenko@mobilize-fs.com</vt:lpwstr>
  </property>
  <property fmtid="{D5CDD505-2E9C-101B-9397-08002B2CF9AE}" pid="13" name="_AuthorEmailDisplayName">
    <vt:lpwstr>ANDRUSENKO Irina</vt:lpwstr>
  </property>
  <property fmtid="{D5CDD505-2E9C-101B-9397-08002B2CF9AE}" pid="14" name="_PreviousAdHocReviewCycleID">
    <vt:i4>1036881458</vt:i4>
  </property>
</Properties>
</file>